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CCPG\DDP\Fee Adjustment - Jan 2019\Oxygen Budget Neutrality files\"/>
    </mc:Choice>
  </mc:AlternateContent>
  <bookViews>
    <workbookView xWindow="90" yWindow="-15" windowWidth="19155" windowHeight="11760" tabRatio="635" activeTab="2"/>
  </bookViews>
  <sheets>
    <sheet name="documentation" sheetId="30" r:id="rId1"/>
    <sheet name="cross tab july 2017" sheetId="35" r:id="rId2"/>
    <sheet name="cross tab types" sheetId="33" r:id="rId3"/>
    <sheet name="input prices" sheetId="49" r:id="rId4"/>
    <sheet name="non-contig" sheetId="46" r:id="rId5"/>
    <sheet name="region1" sheetId="38" r:id="rId6"/>
    <sheet name="region2" sheetId="39" r:id="rId7"/>
    <sheet name="region3" sheetId="40" r:id="rId8"/>
    <sheet name="region4" sheetId="41" r:id="rId9"/>
    <sheet name="region5" sheetId="42" r:id="rId10"/>
    <sheet name="region6" sheetId="43" r:id="rId11"/>
    <sheet name="region7" sheetId="44" r:id="rId12"/>
    <sheet name="region8" sheetId="45" r:id="rId13"/>
    <sheet name="summary" sheetId="48" r:id="rId14"/>
  </sheets>
  <calcPr calcId="152511"/>
</workbook>
</file>

<file path=xl/calcChain.xml><?xml version="1.0" encoding="utf-8"?>
<calcChain xmlns="http://schemas.openxmlformats.org/spreadsheetml/2006/main">
  <c r="H32" i="49" l="1"/>
  <c r="H33" i="49"/>
  <c r="H34" i="49"/>
  <c r="H35" i="49"/>
  <c r="H28" i="49"/>
  <c r="H29" i="49"/>
  <c r="H30" i="49"/>
  <c r="H31" i="49"/>
  <c r="H20" i="49"/>
  <c r="H21" i="49"/>
  <c r="H22" i="49"/>
  <c r="H23" i="49"/>
  <c r="H16" i="49"/>
  <c r="H17" i="49"/>
  <c r="H18" i="49"/>
  <c r="H19" i="49"/>
  <c r="H9" i="49"/>
  <c r="H10" i="49"/>
  <c r="H11" i="49"/>
  <c r="H12" i="49"/>
  <c r="H13" i="49"/>
  <c r="H14" i="49"/>
  <c r="H15" i="49"/>
  <c r="H24" i="49"/>
  <c r="H25" i="49"/>
  <c r="H26" i="49"/>
  <c r="H27" i="49"/>
  <c r="H36" i="49"/>
  <c r="H37" i="49"/>
  <c r="H38" i="49"/>
  <c r="H39" i="49"/>
  <c r="H8" i="49"/>
  <c r="E1" i="49" l="1"/>
  <c r="D45" i="49"/>
  <c r="H45" i="49" s="1"/>
  <c r="H5" i="49"/>
  <c r="H7" i="49"/>
  <c r="H4" i="49"/>
  <c r="H46" i="49"/>
  <c r="E46" i="49"/>
  <c r="E45" i="49"/>
  <c r="E44" i="49"/>
  <c r="H44" i="49" s="1"/>
  <c r="E43" i="49"/>
  <c r="H43" i="49" s="1"/>
  <c r="E11" i="49"/>
  <c r="E15" i="49"/>
  <c r="E19" i="49"/>
  <c r="E23" i="49"/>
  <c r="E27" i="49"/>
  <c r="E31" i="49"/>
  <c r="E35" i="49"/>
  <c r="E39" i="49"/>
  <c r="E9" i="49"/>
  <c r="E13" i="49"/>
  <c r="E17" i="49"/>
  <c r="E21" i="49"/>
  <c r="E25" i="49"/>
  <c r="E29" i="49"/>
  <c r="E33" i="49"/>
  <c r="E37" i="49"/>
  <c r="E12" i="49"/>
  <c r="E16" i="49"/>
  <c r="E20" i="49"/>
  <c r="E24" i="49"/>
  <c r="E28" i="49"/>
  <c r="E32" i="49"/>
  <c r="E36" i="49"/>
  <c r="E8" i="49"/>
  <c r="D34" i="49"/>
  <c r="D30" i="49"/>
  <c r="D18" i="49"/>
  <c r="D14" i="49"/>
  <c r="D22" i="49" l="1"/>
  <c r="D38" i="49"/>
  <c r="D10" i="49"/>
  <c r="D26" i="49"/>
  <c r="D6" i="49"/>
  <c r="H6" i="49" s="1"/>
  <c r="C3" i="48" l="1"/>
  <c r="C4" i="48"/>
  <c r="C5" i="48"/>
  <c r="C6" i="48"/>
  <c r="C7" i="48"/>
  <c r="C8" i="48"/>
  <c r="C9" i="48"/>
  <c r="C10" i="48"/>
  <c r="C2" i="48"/>
  <c r="L33" i="45"/>
  <c r="L33" i="44"/>
  <c r="L33" i="43"/>
  <c r="L33" i="42"/>
  <c r="L33" i="41"/>
  <c r="L33" i="40"/>
  <c r="L33" i="39"/>
  <c r="L33" i="38"/>
  <c r="L33" i="46"/>
  <c r="G30" i="33"/>
  <c r="G29" i="33"/>
  <c r="G28" i="33"/>
  <c r="G27" i="33"/>
  <c r="G26" i="33"/>
  <c r="G25" i="33"/>
  <c r="G24" i="33"/>
  <c r="G23" i="33"/>
  <c r="G22" i="33"/>
  <c r="G21" i="33"/>
  <c r="G31" i="33" s="1"/>
  <c r="G18" i="33"/>
  <c r="H23" i="33" l="1"/>
  <c r="H27" i="33"/>
  <c r="H25" i="33"/>
  <c r="H28" i="33"/>
  <c r="H26" i="33"/>
  <c r="H24" i="33"/>
  <c r="H22" i="33"/>
  <c r="H29" i="33"/>
  <c r="H30" i="33"/>
  <c r="H21" i="33"/>
  <c r="L66" i="46" l="1"/>
  <c r="L64" i="46"/>
  <c r="L63" i="46"/>
  <c r="A59" i="46"/>
  <c r="L58" i="46"/>
  <c r="L57" i="46"/>
  <c r="J56" i="46"/>
  <c r="I56" i="46"/>
  <c r="H56" i="46"/>
  <c r="G56" i="46"/>
  <c r="F56" i="46"/>
  <c r="E56" i="46"/>
  <c r="B56" i="46"/>
  <c r="E55" i="46"/>
  <c r="A50" i="46"/>
  <c r="C49" i="46"/>
  <c r="C66" i="46" s="1"/>
  <c r="A49" i="46"/>
  <c r="A66" i="46" s="1"/>
  <c r="L48" i="46"/>
  <c r="L65" i="46" s="1"/>
  <c r="A48" i="46"/>
  <c r="A65" i="46" s="1"/>
  <c r="C47" i="46"/>
  <c r="C64" i="46" s="1"/>
  <c r="A47" i="46"/>
  <c r="A64" i="46" s="1"/>
  <c r="C46" i="46"/>
  <c r="C63" i="46" s="1"/>
  <c r="B46" i="46"/>
  <c r="P46" i="46" s="1"/>
  <c r="A46" i="46"/>
  <c r="A63" i="46" s="1"/>
  <c r="L45" i="46"/>
  <c r="C45" i="46"/>
  <c r="C62" i="46" s="1"/>
  <c r="B45" i="46"/>
  <c r="L44" i="46"/>
  <c r="C44" i="46"/>
  <c r="C61" i="46" s="1"/>
  <c r="L43" i="46"/>
  <c r="L60" i="46" s="1"/>
  <c r="A43" i="46"/>
  <c r="A60" i="46" s="1"/>
  <c r="L42" i="46"/>
  <c r="A42" i="46"/>
  <c r="B41" i="46"/>
  <c r="P41" i="46" s="1"/>
  <c r="A41" i="46"/>
  <c r="A58" i="46" s="1"/>
  <c r="A40" i="46"/>
  <c r="A57" i="46" s="1"/>
  <c r="L34" i="46"/>
  <c r="C34" i="46"/>
  <c r="B34" i="46"/>
  <c r="A34" i="46"/>
  <c r="C33" i="46"/>
  <c r="C48" i="46" s="1"/>
  <c r="C65" i="46" s="1"/>
  <c r="B33" i="46"/>
  <c r="O33" i="46" s="1"/>
  <c r="A33" i="46"/>
  <c r="O32" i="46"/>
  <c r="C32" i="46"/>
  <c r="B32" i="46"/>
  <c r="A32" i="46"/>
  <c r="L31" i="46"/>
  <c r="P31" i="46" s="1"/>
  <c r="C31" i="46"/>
  <c r="I31" i="46" s="1"/>
  <c r="B31" i="46"/>
  <c r="A31" i="46"/>
  <c r="L30" i="46"/>
  <c r="O30" i="46" s="1"/>
  <c r="C30" i="46"/>
  <c r="I30" i="46" s="1"/>
  <c r="B30" i="46"/>
  <c r="A30" i="46"/>
  <c r="A45" i="46" s="1"/>
  <c r="A62" i="46" s="1"/>
  <c r="L29" i="46"/>
  <c r="C29" i="46"/>
  <c r="J29" i="46" s="1"/>
  <c r="B29" i="46"/>
  <c r="A29" i="46"/>
  <c r="A44" i="46" s="1"/>
  <c r="A61" i="46" s="1"/>
  <c r="L28" i="46"/>
  <c r="C28" i="46"/>
  <c r="C43" i="46" s="1"/>
  <c r="C60" i="46" s="1"/>
  <c r="B28" i="46"/>
  <c r="A28" i="46"/>
  <c r="L27" i="46"/>
  <c r="P27" i="46" s="1"/>
  <c r="C27" i="46"/>
  <c r="B27" i="46"/>
  <c r="B42" i="46" s="1"/>
  <c r="A27" i="46"/>
  <c r="P26" i="46"/>
  <c r="O26" i="46"/>
  <c r="C26" i="46"/>
  <c r="H26" i="46" s="1"/>
  <c r="B26" i="46"/>
  <c r="A26" i="46"/>
  <c r="C25" i="46"/>
  <c r="B25" i="46"/>
  <c r="P25" i="46" s="1"/>
  <c r="A25" i="46"/>
  <c r="L66" i="45"/>
  <c r="L64" i="45"/>
  <c r="L63" i="45"/>
  <c r="L58" i="45"/>
  <c r="L57" i="45"/>
  <c r="J56" i="45"/>
  <c r="I56" i="45"/>
  <c r="H56" i="45"/>
  <c r="G56" i="45"/>
  <c r="F56" i="45"/>
  <c r="E56" i="45"/>
  <c r="B56" i="45"/>
  <c r="E55" i="45"/>
  <c r="A50" i="45"/>
  <c r="C49" i="45"/>
  <c r="C66" i="45" s="1"/>
  <c r="L48" i="45"/>
  <c r="L65" i="45" s="1"/>
  <c r="A48" i="45"/>
  <c r="A65" i="45" s="1"/>
  <c r="C47" i="45"/>
  <c r="C64" i="45" s="1"/>
  <c r="A47" i="45"/>
  <c r="A64" i="45" s="1"/>
  <c r="C46" i="45"/>
  <c r="C63" i="45" s="1"/>
  <c r="A46" i="45"/>
  <c r="A63" i="45" s="1"/>
  <c r="L45" i="45"/>
  <c r="L62" i="45" s="1"/>
  <c r="C45" i="45"/>
  <c r="C62" i="45" s="1"/>
  <c r="L44" i="45"/>
  <c r="L61" i="45" s="1"/>
  <c r="C44" i="45"/>
  <c r="C61" i="45" s="1"/>
  <c r="L43" i="45"/>
  <c r="L60" i="45" s="1"/>
  <c r="L42" i="45"/>
  <c r="A42" i="45"/>
  <c r="A59" i="45" s="1"/>
  <c r="A41" i="45"/>
  <c r="A58" i="45" s="1"/>
  <c r="A40" i="45"/>
  <c r="A57" i="45" s="1"/>
  <c r="L34" i="45"/>
  <c r="P34" i="45" s="1"/>
  <c r="C34" i="45"/>
  <c r="B34" i="45"/>
  <c r="A34" i="45"/>
  <c r="A49" i="45" s="1"/>
  <c r="A66" i="45" s="1"/>
  <c r="C33" i="45"/>
  <c r="C48" i="45" s="1"/>
  <c r="C65" i="45" s="1"/>
  <c r="B33" i="45"/>
  <c r="A33" i="45"/>
  <c r="C32" i="45"/>
  <c r="B32" i="45"/>
  <c r="A32" i="45"/>
  <c r="L31" i="45"/>
  <c r="C31" i="45"/>
  <c r="B31" i="45"/>
  <c r="A31" i="45"/>
  <c r="L30" i="45"/>
  <c r="C30" i="45"/>
  <c r="B30" i="45"/>
  <c r="B45" i="45" s="1"/>
  <c r="P45" i="45" s="1"/>
  <c r="A30" i="45"/>
  <c r="A45" i="45" s="1"/>
  <c r="A62" i="45" s="1"/>
  <c r="L29" i="45"/>
  <c r="C29" i="45"/>
  <c r="B29" i="45"/>
  <c r="B44" i="45" s="1"/>
  <c r="A29" i="45"/>
  <c r="A44" i="45" s="1"/>
  <c r="A61" i="45" s="1"/>
  <c r="L28" i="45"/>
  <c r="C28" i="45"/>
  <c r="C43" i="45" s="1"/>
  <c r="C60" i="45" s="1"/>
  <c r="B28" i="45"/>
  <c r="A28" i="45"/>
  <c r="A43" i="45" s="1"/>
  <c r="A60" i="45" s="1"/>
  <c r="L27" i="45"/>
  <c r="C27" i="45"/>
  <c r="C42" i="45" s="1"/>
  <c r="C59" i="45" s="1"/>
  <c r="B27" i="45"/>
  <c r="A27" i="45"/>
  <c r="C26" i="45"/>
  <c r="C41" i="45" s="1"/>
  <c r="C58" i="45" s="1"/>
  <c r="B26" i="45"/>
  <c r="O26" i="45" s="1"/>
  <c r="A26" i="45"/>
  <c r="C25" i="45"/>
  <c r="C40" i="45" s="1"/>
  <c r="C57" i="45" s="1"/>
  <c r="B25" i="45"/>
  <c r="O25" i="45" s="1"/>
  <c r="A25" i="45"/>
  <c r="L66" i="44"/>
  <c r="L64" i="44"/>
  <c r="L63" i="44"/>
  <c r="A59" i="44"/>
  <c r="L58" i="44"/>
  <c r="L57" i="44"/>
  <c r="J56" i="44"/>
  <c r="I56" i="44"/>
  <c r="H56" i="44"/>
  <c r="G56" i="44"/>
  <c r="F56" i="44"/>
  <c r="E56" i="44"/>
  <c r="B56" i="44"/>
  <c r="E55" i="44"/>
  <c r="A50" i="44"/>
  <c r="C49" i="44"/>
  <c r="C66" i="44" s="1"/>
  <c r="A49" i="44"/>
  <c r="A66" i="44" s="1"/>
  <c r="L48" i="44"/>
  <c r="L65" i="44" s="1"/>
  <c r="A48" i="44"/>
  <c r="A65" i="44" s="1"/>
  <c r="C47" i="44"/>
  <c r="C64" i="44" s="1"/>
  <c r="A47" i="44"/>
  <c r="A64" i="44" s="1"/>
  <c r="C46" i="44"/>
  <c r="C63" i="44" s="1"/>
  <c r="A46" i="44"/>
  <c r="A63" i="44" s="1"/>
  <c r="L45" i="44"/>
  <c r="C45" i="44"/>
  <c r="C62" i="44" s="1"/>
  <c r="L44" i="44"/>
  <c r="C44" i="44"/>
  <c r="C61" i="44" s="1"/>
  <c r="L43" i="44"/>
  <c r="L60" i="44" s="1"/>
  <c r="A43" i="44"/>
  <c r="A60" i="44" s="1"/>
  <c r="L42" i="44"/>
  <c r="B42" i="44"/>
  <c r="A42" i="44"/>
  <c r="A41" i="44"/>
  <c r="A58" i="44" s="1"/>
  <c r="B40" i="44"/>
  <c r="A40" i="44"/>
  <c r="A57" i="44" s="1"/>
  <c r="L34" i="44"/>
  <c r="C34" i="44"/>
  <c r="J34" i="44" s="1"/>
  <c r="B34" i="44"/>
  <c r="A34" i="44"/>
  <c r="C33" i="44"/>
  <c r="C48" i="44" s="1"/>
  <c r="C65" i="44" s="1"/>
  <c r="B33" i="44"/>
  <c r="O33" i="44" s="1"/>
  <c r="A33" i="44"/>
  <c r="C32" i="44"/>
  <c r="B32" i="44"/>
  <c r="O32" i="44" s="1"/>
  <c r="A32" i="44"/>
  <c r="L31" i="44"/>
  <c r="C31" i="44"/>
  <c r="I31" i="44" s="1"/>
  <c r="B31" i="44"/>
  <c r="B46" i="44" s="1"/>
  <c r="P46" i="44" s="1"/>
  <c r="A31" i="44"/>
  <c r="L30" i="44"/>
  <c r="C30" i="44"/>
  <c r="I30" i="44" s="1"/>
  <c r="B30" i="44"/>
  <c r="A30" i="44"/>
  <c r="A45" i="44" s="1"/>
  <c r="A62" i="44" s="1"/>
  <c r="L29" i="44"/>
  <c r="C29" i="44"/>
  <c r="B29" i="44"/>
  <c r="A29" i="44"/>
  <c r="A44" i="44" s="1"/>
  <c r="A61" i="44" s="1"/>
  <c r="L28" i="44"/>
  <c r="C28" i="44"/>
  <c r="C43" i="44" s="1"/>
  <c r="C60" i="44" s="1"/>
  <c r="B28" i="44"/>
  <c r="A28" i="44"/>
  <c r="L27" i="44"/>
  <c r="C27" i="44"/>
  <c r="C42" i="44" s="1"/>
  <c r="C59" i="44" s="1"/>
  <c r="B27" i="44"/>
  <c r="A27" i="44"/>
  <c r="O26" i="44"/>
  <c r="C26" i="44"/>
  <c r="B26" i="44"/>
  <c r="B41" i="44" s="1"/>
  <c r="A26" i="44"/>
  <c r="P25" i="44"/>
  <c r="O25" i="44"/>
  <c r="C25" i="44"/>
  <c r="B25" i="44"/>
  <c r="A25" i="44"/>
  <c r="L66" i="43"/>
  <c r="L64" i="43"/>
  <c r="L63" i="43"/>
  <c r="L58" i="43"/>
  <c r="L57" i="43"/>
  <c r="J56" i="43"/>
  <c r="I56" i="43"/>
  <c r="H56" i="43"/>
  <c r="G56" i="43"/>
  <c r="F56" i="43"/>
  <c r="E56" i="43"/>
  <c r="B56" i="43"/>
  <c r="E55" i="43"/>
  <c r="A50" i="43"/>
  <c r="C49" i="43"/>
  <c r="C66" i="43" s="1"/>
  <c r="L48" i="43"/>
  <c r="L65" i="43" s="1"/>
  <c r="A48" i="43"/>
  <c r="A65" i="43" s="1"/>
  <c r="C47" i="43"/>
  <c r="C64" i="43" s="1"/>
  <c r="A47" i="43"/>
  <c r="A64" i="43" s="1"/>
  <c r="C46" i="43"/>
  <c r="C63" i="43" s="1"/>
  <c r="A46" i="43"/>
  <c r="A63" i="43" s="1"/>
  <c r="L45" i="43"/>
  <c r="L62" i="43" s="1"/>
  <c r="C45" i="43"/>
  <c r="C62" i="43" s="1"/>
  <c r="B45" i="43"/>
  <c r="L44" i="43"/>
  <c r="L61" i="43" s="1"/>
  <c r="C44" i="43"/>
  <c r="C61" i="43" s="1"/>
  <c r="L43" i="43"/>
  <c r="L60" i="43" s="1"/>
  <c r="L42" i="43"/>
  <c r="A42" i="43"/>
  <c r="A59" i="43" s="1"/>
  <c r="A41" i="43"/>
  <c r="A58" i="43" s="1"/>
  <c r="A40" i="43"/>
  <c r="A57" i="43" s="1"/>
  <c r="L34" i="43"/>
  <c r="C34" i="43"/>
  <c r="B34" i="43"/>
  <c r="A34" i="43"/>
  <c r="A49" i="43" s="1"/>
  <c r="A66" i="43" s="1"/>
  <c r="C33" i="43"/>
  <c r="C48" i="43" s="1"/>
  <c r="C65" i="43" s="1"/>
  <c r="B33" i="43"/>
  <c r="A33" i="43"/>
  <c r="C32" i="43"/>
  <c r="B32" i="43"/>
  <c r="A32" i="43"/>
  <c r="L31" i="43"/>
  <c r="P31" i="43" s="1"/>
  <c r="C31" i="43"/>
  <c r="B31" i="43"/>
  <c r="A31" i="43"/>
  <c r="O30" i="43"/>
  <c r="L30" i="43"/>
  <c r="P30" i="43" s="1"/>
  <c r="C30" i="43"/>
  <c r="B30" i="43"/>
  <c r="A30" i="43"/>
  <c r="A45" i="43" s="1"/>
  <c r="A62" i="43" s="1"/>
  <c r="L29" i="43"/>
  <c r="P29" i="43" s="1"/>
  <c r="C29" i="43"/>
  <c r="B29" i="43"/>
  <c r="B44" i="43" s="1"/>
  <c r="A29" i="43"/>
  <c r="A44" i="43" s="1"/>
  <c r="A61" i="43" s="1"/>
  <c r="L28" i="43"/>
  <c r="C28" i="43"/>
  <c r="C43" i="43" s="1"/>
  <c r="C60" i="43" s="1"/>
  <c r="B28" i="43"/>
  <c r="A28" i="43"/>
  <c r="A43" i="43" s="1"/>
  <c r="A60" i="43" s="1"/>
  <c r="L27" i="43"/>
  <c r="P27" i="43" s="1"/>
  <c r="C27" i="43"/>
  <c r="C42" i="43" s="1"/>
  <c r="C59" i="43" s="1"/>
  <c r="B27" i="43"/>
  <c r="A27" i="43"/>
  <c r="O26" i="43"/>
  <c r="C26" i="43"/>
  <c r="C41" i="43" s="1"/>
  <c r="C58" i="43" s="1"/>
  <c r="B26" i="43"/>
  <c r="A26" i="43"/>
  <c r="O25" i="43"/>
  <c r="C25" i="43"/>
  <c r="C40" i="43" s="1"/>
  <c r="C57" i="43" s="1"/>
  <c r="B25" i="43"/>
  <c r="A25" i="43"/>
  <c r="L66" i="42"/>
  <c r="L64" i="42"/>
  <c r="L63" i="42"/>
  <c r="A59" i="42"/>
  <c r="L58" i="42"/>
  <c r="L57" i="42"/>
  <c r="J56" i="42"/>
  <c r="I56" i="42"/>
  <c r="H56" i="42"/>
  <c r="G56" i="42"/>
  <c r="F56" i="42"/>
  <c r="E56" i="42"/>
  <c r="B56" i="42"/>
  <c r="E55" i="42"/>
  <c r="A50" i="42"/>
  <c r="C49" i="42"/>
  <c r="C66" i="42" s="1"/>
  <c r="A49" i="42"/>
  <c r="A66" i="42" s="1"/>
  <c r="L48" i="42"/>
  <c r="L65" i="42" s="1"/>
  <c r="A48" i="42"/>
  <c r="A65" i="42" s="1"/>
  <c r="C47" i="42"/>
  <c r="C64" i="42" s="1"/>
  <c r="A47" i="42"/>
  <c r="A64" i="42" s="1"/>
  <c r="C46" i="42"/>
  <c r="C63" i="42" s="1"/>
  <c r="A46" i="42"/>
  <c r="A63" i="42" s="1"/>
  <c r="L45" i="42"/>
  <c r="C45" i="42"/>
  <c r="C62" i="42" s="1"/>
  <c r="L44" i="42"/>
  <c r="C44" i="42"/>
  <c r="C61" i="42" s="1"/>
  <c r="L43" i="42"/>
  <c r="L60" i="42" s="1"/>
  <c r="A43" i="42"/>
  <c r="A60" i="42" s="1"/>
  <c r="L42" i="42"/>
  <c r="A42" i="42"/>
  <c r="A41" i="42"/>
  <c r="A58" i="42" s="1"/>
  <c r="B40" i="42"/>
  <c r="A40" i="42"/>
  <c r="A57" i="42" s="1"/>
  <c r="L34" i="42"/>
  <c r="C34" i="42"/>
  <c r="B34" i="42"/>
  <c r="A34" i="42"/>
  <c r="C33" i="42"/>
  <c r="C48" i="42" s="1"/>
  <c r="C65" i="42" s="1"/>
  <c r="B33" i="42"/>
  <c r="O33" i="42" s="1"/>
  <c r="A33" i="42"/>
  <c r="O32" i="42"/>
  <c r="C32" i="42"/>
  <c r="B32" i="42"/>
  <c r="A32" i="42"/>
  <c r="L31" i="42"/>
  <c r="P31" i="42" s="1"/>
  <c r="C31" i="42"/>
  <c r="I31" i="42" s="1"/>
  <c r="B31" i="42"/>
  <c r="B46" i="42" s="1"/>
  <c r="P46" i="42" s="1"/>
  <c r="A31" i="42"/>
  <c r="L30" i="42"/>
  <c r="C30" i="42"/>
  <c r="B30" i="42"/>
  <c r="A30" i="42"/>
  <c r="A45" i="42" s="1"/>
  <c r="A62" i="42" s="1"/>
  <c r="L29" i="42"/>
  <c r="C29" i="42"/>
  <c r="B29" i="42"/>
  <c r="A29" i="42"/>
  <c r="A44" i="42" s="1"/>
  <c r="A61" i="42" s="1"/>
  <c r="L28" i="42"/>
  <c r="C28" i="42"/>
  <c r="C43" i="42" s="1"/>
  <c r="C60" i="42" s="1"/>
  <c r="B28" i="42"/>
  <c r="A28" i="42"/>
  <c r="L27" i="42"/>
  <c r="C27" i="42"/>
  <c r="B27" i="42"/>
  <c r="A27" i="42"/>
  <c r="O26" i="42"/>
  <c r="C26" i="42"/>
  <c r="B26" i="42"/>
  <c r="B41" i="42" s="1"/>
  <c r="A26" i="42"/>
  <c r="P25" i="42"/>
  <c r="O25" i="42"/>
  <c r="C25" i="42"/>
  <c r="B25" i="42"/>
  <c r="A25" i="42"/>
  <c r="L66" i="41"/>
  <c r="L64" i="41"/>
  <c r="L63" i="41"/>
  <c r="A59" i="41"/>
  <c r="L58" i="41"/>
  <c r="L57" i="41"/>
  <c r="J56" i="41"/>
  <c r="I56" i="41"/>
  <c r="H56" i="41"/>
  <c r="G56" i="41"/>
  <c r="F56" i="41"/>
  <c r="E56" i="41"/>
  <c r="B56" i="41"/>
  <c r="E55" i="41"/>
  <c r="A50" i="41"/>
  <c r="C49" i="41"/>
  <c r="C66" i="41" s="1"/>
  <c r="A49" i="41"/>
  <c r="A66" i="41" s="1"/>
  <c r="L48" i="41"/>
  <c r="L65" i="41" s="1"/>
  <c r="A48" i="41"/>
  <c r="A65" i="41" s="1"/>
  <c r="C47" i="41"/>
  <c r="C64" i="41" s="1"/>
  <c r="A47" i="41"/>
  <c r="A64" i="41" s="1"/>
  <c r="C46" i="41"/>
  <c r="C63" i="41" s="1"/>
  <c r="B46" i="41"/>
  <c r="P46" i="41" s="1"/>
  <c r="A46" i="41"/>
  <c r="A63" i="41" s="1"/>
  <c r="L45" i="41"/>
  <c r="C45" i="41"/>
  <c r="C62" i="41" s="1"/>
  <c r="B45" i="41"/>
  <c r="L44" i="41"/>
  <c r="L61" i="41" s="1"/>
  <c r="C44" i="41"/>
  <c r="C61" i="41" s="1"/>
  <c r="L43" i="41"/>
  <c r="L60" i="41" s="1"/>
  <c r="A43" i="41"/>
  <c r="A60" i="41" s="1"/>
  <c r="L42" i="41"/>
  <c r="A42" i="41"/>
  <c r="A41" i="41"/>
  <c r="A58" i="41" s="1"/>
  <c r="A40" i="41"/>
  <c r="A57" i="41" s="1"/>
  <c r="L34" i="41"/>
  <c r="C34" i="41"/>
  <c r="B34" i="41"/>
  <c r="A34" i="41"/>
  <c r="C33" i="41"/>
  <c r="C48" i="41" s="1"/>
  <c r="C65" i="41" s="1"/>
  <c r="B33" i="41"/>
  <c r="A33" i="41"/>
  <c r="C32" i="41"/>
  <c r="B32" i="41"/>
  <c r="O32" i="41" s="1"/>
  <c r="A32" i="41"/>
  <c r="L31" i="41"/>
  <c r="P31" i="41" s="1"/>
  <c r="C31" i="41"/>
  <c r="B31" i="41"/>
  <c r="J31" i="41" s="1"/>
  <c r="A31" i="41"/>
  <c r="L30" i="41"/>
  <c r="P30" i="41" s="1"/>
  <c r="C30" i="41"/>
  <c r="H30" i="41" s="1"/>
  <c r="B30" i="41"/>
  <c r="J30" i="41" s="1"/>
  <c r="A30" i="41"/>
  <c r="A45" i="41" s="1"/>
  <c r="A62" i="41" s="1"/>
  <c r="L29" i="41"/>
  <c r="C29" i="41"/>
  <c r="J29" i="41" s="1"/>
  <c r="B29" i="41"/>
  <c r="A29" i="41"/>
  <c r="A44" i="41" s="1"/>
  <c r="A61" i="41" s="1"/>
  <c r="L28" i="41"/>
  <c r="C28" i="41"/>
  <c r="C43" i="41" s="1"/>
  <c r="C60" i="41" s="1"/>
  <c r="B28" i="41"/>
  <c r="A28" i="41"/>
  <c r="L27" i="41"/>
  <c r="P27" i="41" s="1"/>
  <c r="C27" i="41"/>
  <c r="C42" i="41" s="1"/>
  <c r="C59" i="41" s="1"/>
  <c r="B27" i="41"/>
  <c r="B42" i="41" s="1"/>
  <c r="A27" i="41"/>
  <c r="P26" i="41"/>
  <c r="O26" i="41"/>
  <c r="C26" i="41"/>
  <c r="C41" i="41" s="1"/>
  <c r="C58" i="41" s="1"/>
  <c r="B26" i="41"/>
  <c r="A26" i="41"/>
  <c r="P25" i="41"/>
  <c r="C25" i="41"/>
  <c r="B25" i="41"/>
  <c r="O25" i="41" s="1"/>
  <c r="A25" i="41"/>
  <c r="L66" i="40"/>
  <c r="L64" i="40"/>
  <c r="L63" i="40"/>
  <c r="L58" i="40"/>
  <c r="L57" i="40"/>
  <c r="J56" i="40"/>
  <c r="I56" i="40"/>
  <c r="H56" i="40"/>
  <c r="G56" i="40"/>
  <c r="F56" i="40"/>
  <c r="E56" i="40"/>
  <c r="B56" i="40"/>
  <c r="E55" i="40"/>
  <c r="A50" i="40"/>
  <c r="C49" i="40"/>
  <c r="C66" i="40" s="1"/>
  <c r="A49" i="40"/>
  <c r="A66" i="40" s="1"/>
  <c r="L48" i="40"/>
  <c r="A48" i="40"/>
  <c r="A65" i="40" s="1"/>
  <c r="C47" i="40"/>
  <c r="C64" i="40" s="1"/>
  <c r="A47" i="40"/>
  <c r="A64" i="40" s="1"/>
  <c r="C46" i="40"/>
  <c r="C63" i="40" s="1"/>
  <c r="L45" i="40"/>
  <c r="C45" i="40"/>
  <c r="C62" i="40" s="1"/>
  <c r="L44" i="40"/>
  <c r="C44" i="40"/>
  <c r="C61" i="40" s="1"/>
  <c r="L43" i="40"/>
  <c r="L60" i="40" s="1"/>
  <c r="A43" i="40"/>
  <c r="A60" i="40" s="1"/>
  <c r="L42" i="40"/>
  <c r="A41" i="40"/>
  <c r="A58" i="40" s="1"/>
  <c r="L34" i="40"/>
  <c r="C34" i="40"/>
  <c r="J34" i="40" s="1"/>
  <c r="B34" i="40"/>
  <c r="A34" i="40"/>
  <c r="C33" i="40"/>
  <c r="C48" i="40" s="1"/>
  <c r="C65" i="40" s="1"/>
  <c r="B33" i="40"/>
  <c r="A33" i="40"/>
  <c r="C32" i="40"/>
  <c r="B32" i="40"/>
  <c r="A32" i="40"/>
  <c r="L31" i="40"/>
  <c r="C31" i="40"/>
  <c r="B31" i="40"/>
  <c r="B46" i="40" s="1"/>
  <c r="A31" i="40"/>
  <c r="A46" i="40" s="1"/>
  <c r="A63" i="40" s="1"/>
  <c r="L30" i="40"/>
  <c r="C30" i="40"/>
  <c r="B30" i="40"/>
  <c r="A30" i="40"/>
  <c r="A45" i="40" s="1"/>
  <c r="A62" i="40" s="1"/>
  <c r="L29" i="40"/>
  <c r="C29" i="40"/>
  <c r="B29" i="40"/>
  <c r="A29" i="40"/>
  <c r="A44" i="40" s="1"/>
  <c r="A61" i="40" s="1"/>
  <c r="L28" i="40"/>
  <c r="C28" i="40"/>
  <c r="C43" i="40" s="1"/>
  <c r="C60" i="40" s="1"/>
  <c r="B28" i="40"/>
  <c r="A28" i="40"/>
  <c r="L27" i="40"/>
  <c r="O27" i="40" s="1"/>
  <c r="C27" i="40"/>
  <c r="C42" i="40" s="1"/>
  <c r="C59" i="40" s="1"/>
  <c r="B27" i="40"/>
  <c r="A27" i="40"/>
  <c r="A42" i="40" s="1"/>
  <c r="A59" i="40" s="1"/>
  <c r="P26" i="40"/>
  <c r="O26" i="40"/>
  <c r="C26" i="40"/>
  <c r="C41" i="40" s="1"/>
  <c r="B26" i="40"/>
  <c r="B41" i="40" s="1"/>
  <c r="A26" i="40"/>
  <c r="P25" i="40"/>
  <c r="C25" i="40"/>
  <c r="B25" i="40"/>
  <c r="B40" i="40" s="1"/>
  <c r="A25" i="40"/>
  <c r="A40" i="40" s="1"/>
  <c r="A57" i="40" s="1"/>
  <c r="L66" i="39"/>
  <c r="L64" i="39"/>
  <c r="L63" i="39"/>
  <c r="L58" i="39"/>
  <c r="L57" i="39"/>
  <c r="J56" i="39"/>
  <c r="I56" i="39"/>
  <c r="H56" i="39"/>
  <c r="G56" i="39"/>
  <c r="F56" i="39"/>
  <c r="E56" i="39"/>
  <c r="B56" i="39"/>
  <c r="E55" i="39"/>
  <c r="A50" i="39"/>
  <c r="C49" i="39"/>
  <c r="C66" i="39" s="1"/>
  <c r="B49" i="39"/>
  <c r="O49" i="39" s="1"/>
  <c r="L48" i="39"/>
  <c r="C47" i="39"/>
  <c r="C64" i="39" s="1"/>
  <c r="C46" i="39"/>
  <c r="C63" i="39" s="1"/>
  <c r="L45" i="39"/>
  <c r="L62" i="39" s="1"/>
  <c r="C45" i="39"/>
  <c r="C62" i="39" s="1"/>
  <c r="L44" i="39"/>
  <c r="L61" i="39" s="1"/>
  <c r="C44" i="39"/>
  <c r="C61" i="39" s="1"/>
  <c r="A44" i="39"/>
  <c r="A61" i="39" s="1"/>
  <c r="L43" i="39"/>
  <c r="L60" i="39" s="1"/>
  <c r="L42" i="39"/>
  <c r="L34" i="39"/>
  <c r="P34" i="39" s="1"/>
  <c r="C34" i="39"/>
  <c r="B34" i="39"/>
  <c r="I34" i="39" s="1"/>
  <c r="A34" i="39"/>
  <c r="A49" i="39" s="1"/>
  <c r="A66" i="39" s="1"/>
  <c r="H33" i="39"/>
  <c r="C33" i="39"/>
  <c r="C48" i="39" s="1"/>
  <c r="C65" i="39" s="1"/>
  <c r="B33" i="39"/>
  <c r="I33" i="39" s="1"/>
  <c r="A33" i="39"/>
  <c r="A48" i="39" s="1"/>
  <c r="A65" i="39" s="1"/>
  <c r="O32" i="39"/>
  <c r="C32" i="39"/>
  <c r="B32" i="39"/>
  <c r="I32" i="39" s="1"/>
  <c r="A32" i="39"/>
  <c r="A47" i="39" s="1"/>
  <c r="A64" i="39" s="1"/>
  <c r="L31" i="39"/>
  <c r="C31" i="39"/>
  <c r="B31" i="39"/>
  <c r="J31" i="39" s="1"/>
  <c r="A31" i="39"/>
  <c r="A46" i="39" s="1"/>
  <c r="A63" i="39" s="1"/>
  <c r="L30" i="39"/>
  <c r="C30" i="39"/>
  <c r="B30" i="39"/>
  <c r="A30" i="39"/>
  <c r="A45" i="39" s="1"/>
  <c r="A62" i="39" s="1"/>
  <c r="L29" i="39"/>
  <c r="C29" i="39"/>
  <c r="B29" i="39"/>
  <c r="B44" i="39" s="1"/>
  <c r="A29" i="39"/>
  <c r="L28" i="39"/>
  <c r="P28" i="39" s="1"/>
  <c r="C28" i="39"/>
  <c r="C43" i="39" s="1"/>
  <c r="C60" i="39" s="1"/>
  <c r="B28" i="39"/>
  <c r="J28" i="39" s="1"/>
  <c r="A28" i="39"/>
  <c r="A43" i="39" s="1"/>
  <c r="A60" i="39" s="1"/>
  <c r="L27" i="39"/>
  <c r="P27" i="39" s="1"/>
  <c r="C27" i="39"/>
  <c r="H27" i="39" s="1"/>
  <c r="B27" i="39"/>
  <c r="A27" i="39"/>
  <c r="A42" i="39" s="1"/>
  <c r="A59" i="39" s="1"/>
  <c r="P26" i="39"/>
  <c r="C26" i="39"/>
  <c r="C41" i="39" s="1"/>
  <c r="C58" i="39" s="1"/>
  <c r="B26" i="39"/>
  <c r="A26" i="39"/>
  <c r="A41" i="39" s="1"/>
  <c r="A58" i="39" s="1"/>
  <c r="C25" i="39"/>
  <c r="C40" i="39" s="1"/>
  <c r="C57" i="39" s="1"/>
  <c r="B25" i="39"/>
  <c r="A25" i="39"/>
  <c r="A40" i="39" s="1"/>
  <c r="A57" i="39" s="1"/>
  <c r="L66" i="38"/>
  <c r="L64" i="38"/>
  <c r="B64" i="38"/>
  <c r="L63" i="38"/>
  <c r="L58" i="38"/>
  <c r="L57" i="38"/>
  <c r="J56" i="38"/>
  <c r="I56" i="38"/>
  <c r="H56" i="38"/>
  <c r="G56" i="38"/>
  <c r="F56" i="38"/>
  <c r="E56" i="38"/>
  <c r="B56" i="38"/>
  <c r="E55" i="38"/>
  <c r="A50" i="38"/>
  <c r="C49" i="38"/>
  <c r="C66" i="38" s="1"/>
  <c r="L48" i="38"/>
  <c r="C47" i="38"/>
  <c r="C64" i="38" s="1"/>
  <c r="C46" i="38"/>
  <c r="L45" i="38"/>
  <c r="L62" i="38" s="1"/>
  <c r="C45" i="38"/>
  <c r="C62" i="38" s="1"/>
  <c r="A45" i="38"/>
  <c r="A62" i="38" s="1"/>
  <c r="L44" i="38"/>
  <c r="L61" i="38" s="1"/>
  <c r="C44" i="38"/>
  <c r="C61" i="38" s="1"/>
  <c r="A44" i="38"/>
  <c r="A61" i="38" s="1"/>
  <c r="L43" i="38"/>
  <c r="A43" i="38"/>
  <c r="A60" i="38" s="1"/>
  <c r="L42" i="38"/>
  <c r="L59" i="38" s="1"/>
  <c r="L34" i="38"/>
  <c r="C34" i="38"/>
  <c r="B34" i="38"/>
  <c r="A34" i="38"/>
  <c r="A49" i="38" s="1"/>
  <c r="A66" i="38" s="1"/>
  <c r="C33" i="38"/>
  <c r="C48" i="38" s="1"/>
  <c r="C65" i="38" s="1"/>
  <c r="B33" i="38"/>
  <c r="B48" i="38" s="1"/>
  <c r="A33" i="38"/>
  <c r="A48" i="38" s="1"/>
  <c r="A65" i="38" s="1"/>
  <c r="P32" i="38"/>
  <c r="O32" i="38"/>
  <c r="C32" i="38"/>
  <c r="B32" i="38"/>
  <c r="B47" i="38" s="1"/>
  <c r="O47" i="38" s="1"/>
  <c r="A32" i="38"/>
  <c r="A47" i="38" s="1"/>
  <c r="A64" i="38" s="1"/>
  <c r="L31" i="38"/>
  <c r="P31" i="38" s="1"/>
  <c r="C31" i="38"/>
  <c r="H31" i="38" s="1"/>
  <c r="B31" i="38"/>
  <c r="B46" i="38" s="1"/>
  <c r="A31" i="38"/>
  <c r="A46" i="38" s="1"/>
  <c r="A63" i="38" s="1"/>
  <c r="L30" i="38"/>
  <c r="P30" i="38" s="1"/>
  <c r="C30" i="38"/>
  <c r="B30" i="38"/>
  <c r="A30" i="38"/>
  <c r="L29" i="38"/>
  <c r="C29" i="38"/>
  <c r="B29" i="38"/>
  <c r="A29" i="38"/>
  <c r="L28" i="38"/>
  <c r="C28" i="38"/>
  <c r="C43" i="38" s="1"/>
  <c r="B28" i="38"/>
  <c r="A28" i="38"/>
  <c r="L27" i="38"/>
  <c r="P27" i="38" s="1"/>
  <c r="C27" i="38"/>
  <c r="C42" i="38" s="1"/>
  <c r="C59" i="38" s="1"/>
  <c r="B27" i="38"/>
  <c r="B42" i="38" s="1"/>
  <c r="A27" i="38"/>
  <c r="A42" i="38" s="1"/>
  <c r="A59" i="38" s="1"/>
  <c r="C26" i="38"/>
  <c r="C41" i="38" s="1"/>
  <c r="C58" i="38" s="1"/>
  <c r="B26" i="38"/>
  <c r="A26" i="38"/>
  <c r="A41" i="38" s="1"/>
  <c r="A58" i="38" s="1"/>
  <c r="C25" i="38"/>
  <c r="C40" i="38" s="1"/>
  <c r="C57" i="38" s="1"/>
  <c r="B25" i="38"/>
  <c r="A25" i="38"/>
  <c r="A40" i="38" s="1"/>
  <c r="A57" i="38" s="1"/>
  <c r="J27" i="44" l="1"/>
  <c r="J30" i="44"/>
  <c r="I34" i="43"/>
  <c r="J30" i="42"/>
  <c r="J25" i="42"/>
  <c r="J25" i="43"/>
  <c r="J26" i="43"/>
  <c r="J27" i="43"/>
  <c r="P28" i="43"/>
  <c r="J30" i="43"/>
  <c r="I33" i="43"/>
  <c r="J27" i="42"/>
  <c r="J33" i="41"/>
  <c r="H26" i="39"/>
  <c r="J26" i="39"/>
  <c r="J34" i="38"/>
  <c r="I33" i="45"/>
  <c r="J25" i="44"/>
  <c r="J33" i="42"/>
  <c r="I29" i="41"/>
  <c r="J26" i="41"/>
  <c r="J27" i="40"/>
  <c r="J29" i="40"/>
  <c r="C42" i="39"/>
  <c r="C59" i="39" s="1"/>
  <c r="P30" i="39"/>
  <c r="J25" i="39"/>
  <c r="J27" i="39"/>
  <c r="H28" i="39"/>
  <c r="I25" i="38"/>
  <c r="J28" i="38"/>
  <c r="P30" i="46"/>
  <c r="O31" i="46"/>
  <c r="P29" i="46"/>
  <c r="I29" i="45"/>
  <c r="H30" i="45"/>
  <c r="H31" i="45"/>
  <c r="P27" i="45"/>
  <c r="O28" i="45"/>
  <c r="P29" i="45"/>
  <c r="P30" i="45"/>
  <c r="P31" i="45"/>
  <c r="P26" i="44"/>
  <c r="P27" i="44"/>
  <c r="P30" i="44"/>
  <c r="P31" i="44"/>
  <c r="B45" i="44"/>
  <c r="P45" i="44" s="1"/>
  <c r="I29" i="43"/>
  <c r="H30" i="43"/>
  <c r="P34" i="43"/>
  <c r="P41" i="42"/>
  <c r="B58" i="42"/>
  <c r="J34" i="42"/>
  <c r="B42" i="42"/>
  <c r="O42" i="42" s="1"/>
  <c r="P26" i="42"/>
  <c r="P27" i="42"/>
  <c r="H30" i="42"/>
  <c r="O30" i="42"/>
  <c r="P30" i="42"/>
  <c r="I30" i="42"/>
  <c r="B45" i="42"/>
  <c r="P45" i="42" s="1"/>
  <c r="B40" i="41"/>
  <c r="P45" i="41"/>
  <c r="P29" i="41"/>
  <c r="I30" i="41"/>
  <c r="I31" i="41"/>
  <c r="J32" i="41"/>
  <c r="B41" i="41"/>
  <c r="O42" i="41"/>
  <c r="H31" i="40"/>
  <c r="O34" i="40"/>
  <c r="I25" i="40"/>
  <c r="I31" i="40"/>
  <c r="J32" i="40"/>
  <c r="B42" i="40"/>
  <c r="O25" i="40"/>
  <c r="P31" i="40"/>
  <c r="I31" i="39"/>
  <c r="P32" i="39"/>
  <c r="O34" i="39"/>
  <c r="P25" i="39"/>
  <c r="H25" i="39"/>
  <c r="I27" i="39"/>
  <c r="O28" i="39"/>
  <c r="O29" i="39"/>
  <c r="O30" i="39"/>
  <c r="H31" i="39"/>
  <c r="O33" i="39"/>
  <c r="B43" i="39"/>
  <c r="B60" i="39" s="1"/>
  <c r="O60" i="39" s="1"/>
  <c r="I25" i="39"/>
  <c r="O27" i="39"/>
  <c r="P31" i="39"/>
  <c r="H32" i="39"/>
  <c r="P33" i="39"/>
  <c r="H34" i="39"/>
  <c r="O33" i="38"/>
  <c r="H34" i="38"/>
  <c r="B43" i="38"/>
  <c r="B60" i="38" s="1"/>
  <c r="H46" i="38"/>
  <c r="B49" i="38"/>
  <c r="P64" i="38"/>
  <c r="I31" i="38"/>
  <c r="P33" i="38"/>
  <c r="I34" i="38"/>
  <c r="H27" i="38"/>
  <c r="I27" i="38"/>
  <c r="O31" i="38"/>
  <c r="P34" i="38"/>
  <c r="H25" i="46"/>
  <c r="O25" i="46"/>
  <c r="B40" i="46"/>
  <c r="B57" i="46" s="1"/>
  <c r="P45" i="46"/>
  <c r="B58" i="46"/>
  <c r="H27" i="46"/>
  <c r="J32" i="46"/>
  <c r="O42" i="46"/>
  <c r="J26" i="46"/>
  <c r="H30" i="46"/>
  <c r="I46" i="46"/>
  <c r="J30" i="46"/>
  <c r="J31" i="46"/>
  <c r="P42" i="46"/>
  <c r="I28" i="46"/>
  <c r="B43" i="46"/>
  <c r="H28" i="46"/>
  <c r="I34" i="46"/>
  <c r="B49" i="46"/>
  <c r="H34" i="46"/>
  <c r="B35" i="46"/>
  <c r="O29" i="46"/>
  <c r="J25" i="46"/>
  <c r="J27" i="46"/>
  <c r="O27" i="46"/>
  <c r="J28" i="46"/>
  <c r="H31" i="46"/>
  <c r="I32" i="46"/>
  <c r="B47" i="46"/>
  <c r="P32" i="46"/>
  <c r="H32" i="46"/>
  <c r="J34" i="46"/>
  <c r="L61" i="46"/>
  <c r="P57" i="46"/>
  <c r="O57" i="46"/>
  <c r="C41" i="46"/>
  <c r="I26" i="46"/>
  <c r="B44" i="46"/>
  <c r="P44" i="46" s="1"/>
  <c r="H29" i="46"/>
  <c r="J33" i="46"/>
  <c r="I45" i="46"/>
  <c r="H45" i="46"/>
  <c r="C40" i="46"/>
  <c r="I25" i="46"/>
  <c r="C42" i="46"/>
  <c r="H42" i="46" s="1"/>
  <c r="I27" i="46"/>
  <c r="P28" i="46"/>
  <c r="O28" i="46"/>
  <c r="I29" i="46"/>
  <c r="I33" i="46"/>
  <c r="B48" i="46"/>
  <c r="P33" i="46"/>
  <c r="H33" i="46"/>
  <c r="P34" i="46"/>
  <c r="O34" i="46"/>
  <c r="J45" i="46"/>
  <c r="P58" i="46"/>
  <c r="B62" i="46"/>
  <c r="J40" i="46"/>
  <c r="B59" i="46"/>
  <c r="L62" i="46"/>
  <c r="B63" i="46"/>
  <c r="O40" i="46"/>
  <c r="O41" i="46"/>
  <c r="O45" i="46"/>
  <c r="O46" i="46"/>
  <c r="O58" i="46"/>
  <c r="L59" i="46"/>
  <c r="J41" i="46"/>
  <c r="J46" i="46"/>
  <c r="H40" i="46"/>
  <c r="P40" i="46"/>
  <c r="H41" i="46"/>
  <c r="H46" i="46"/>
  <c r="O29" i="45"/>
  <c r="P28" i="45"/>
  <c r="J25" i="45"/>
  <c r="J26" i="45"/>
  <c r="J27" i="45"/>
  <c r="J30" i="45"/>
  <c r="O30" i="45"/>
  <c r="I34" i="45"/>
  <c r="H29" i="45"/>
  <c r="J31" i="45"/>
  <c r="I32" i="45"/>
  <c r="P61" i="45"/>
  <c r="B61" i="45"/>
  <c r="J44" i="45"/>
  <c r="I44" i="45"/>
  <c r="H44" i="45"/>
  <c r="J28" i="45"/>
  <c r="J32" i="45"/>
  <c r="J33" i="45"/>
  <c r="J34" i="45"/>
  <c r="H25" i="45"/>
  <c r="P25" i="45"/>
  <c r="H26" i="45"/>
  <c r="P26" i="45"/>
  <c r="H27" i="45"/>
  <c r="O27" i="45"/>
  <c r="J29" i="45"/>
  <c r="I30" i="45"/>
  <c r="O31" i="45"/>
  <c r="O32" i="45"/>
  <c r="O33" i="45"/>
  <c r="B40" i="45"/>
  <c r="B41" i="45"/>
  <c r="B42" i="45"/>
  <c r="O44" i="45"/>
  <c r="B46" i="45"/>
  <c r="B47" i="45"/>
  <c r="B48" i="45"/>
  <c r="B35" i="45"/>
  <c r="J45" i="45"/>
  <c r="B62" i="45"/>
  <c r="O62" i="45" s="1"/>
  <c r="I25" i="45"/>
  <c r="I26" i="45"/>
  <c r="I27" i="45"/>
  <c r="H28" i="45"/>
  <c r="I31" i="45"/>
  <c r="H32" i="45"/>
  <c r="P32" i="45"/>
  <c r="H33" i="45"/>
  <c r="P33" i="45"/>
  <c r="H34" i="45"/>
  <c r="O34" i="45"/>
  <c r="B43" i="45"/>
  <c r="P44" i="45"/>
  <c r="H45" i="45"/>
  <c r="O45" i="45"/>
  <c r="B49" i="45"/>
  <c r="L59" i="45"/>
  <c r="I28" i="45"/>
  <c r="I45" i="45"/>
  <c r="O30" i="44"/>
  <c r="H30" i="44"/>
  <c r="J33" i="44"/>
  <c r="I46" i="44"/>
  <c r="C41" i="44"/>
  <c r="C58" i="44" s="1"/>
  <c r="I26" i="44"/>
  <c r="B44" i="44"/>
  <c r="H29" i="44"/>
  <c r="O29" i="44"/>
  <c r="B57" i="44"/>
  <c r="P40" i="44"/>
  <c r="O40" i="44"/>
  <c r="P41" i="44"/>
  <c r="H41" i="44"/>
  <c r="O41" i="44"/>
  <c r="H42" i="44"/>
  <c r="B59" i="44"/>
  <c r="P42" i="44"/>
  <c r="J28" i="44"/>
  <c r="H31" i="44"/>
  <c r="I41" i="44"/>
  <c r="I42" i="44"/>
  <c r="B58" i="44"/>
  <c r="P58" i="44" s="1"/>
  <c r="C40" i="44"/>
  <c r="C57" i="44" s="1"/>
  <c r="I25" i="44"/>
  <c r="P28" i="44"/>
  <c r="O28" i="44"/>
  <c r="I29" i="44"/>
  <c r="I33" i="44"/>
  <c r="P33" i="44"/>
  <c r="H33" i="44"/>
  <c r="B48" i="44"/>
  <c r="P34" i="44"/>
  <c r="O34" i="44"/>
  <c r="J42" i="44"/>
  <c r="O48" i="44"/>
  <c r="L61" i="44"/>
  <c r="H26" i="44"/>
  <c r="O27" i="44"/>
  <c r="P29" i="44"/>
  <c r="I32" i="44"/>
  <c r="P32" i="44"/>
  <c r="H32" i="44"/>
  <c r="B47" i="44"/>
  <c r="I45" i="44"/>
  <c r="H45" i="44"/>
  <c r="H25" i="44"/>
  <c r="J26" i="44"/>
  <c r="H27" i="44"/>
  <c r="I28" i="44"/>
  <c r="B43" i="44"/>
  <c r="H28" i="44"/>
  <c r="J29" i="44"/>
  <c r="J31" i="44"/>
  <c r="O31" i="44"/>
  <c r="J32" i="44"/>
  <c r="I34" i="44"/>
  <c r="B49" i="44"/>
  <c r="H34" i="44"/>
  <c r="B35" i="44"/>
  <c r="O42" i="44"/>
  <c r="J45" i="44"/>
  <c r="B62" i="44"/>
  <c r="I27" i="44"/>
  <c r="O45" i="44"/>
  <c r="O46" i="44"/>
  <c r="L59" i="44"/>
  <c r="J46" i="44"/>
  <c r="L62" i="44"/>
  <c r="B63" i="44"/>
  <c r="H46" i="44"/>
  <c r="O29" i="43"/>
  <c r="H29" i="43"/>
  <c r="J31" i="43"/>
  <c r="I32" i="43"/>
  <c r="P45" i="43"/>
  <c r="B61" i="43"/>
  <c r="J44" i="43"/>
  <c r="I44" i="43"/>
  <c r="H44" i="43"/>
  <c r="P61" i="43"/>
  <c r="O42" i="43"/>
  <c r="J28" i="43"/>
  <c r="J32" i="43"/>
  <c r="J33" i="43"/>
  <c r="J34" i="43"/>
  <c r="J45" i="43"/>
  <c r="B62" i="43"/>
  <c r="H25" i="43"/>
  <c r="P25" i="43"/>
  <c r="H26" i="43"/>
  <c r="P26" i="43"/>
  <c r="H27" i="43"/>
  <c r="O27" i="43"/>
  <c r="J29" i="43"/>
  <c r="I30" i="43"/>
  <c r="H31" i="43"/>
  <c r="O31" i="43"/>
  <c r="O32" i="43"/>
  <c r="O33" i="43"/>
  <c r="B40" i="43"/>
  <c r="B41" i="43"/>
  <c r="B42" i="43"/>
  <c r="O44" i="43"/>
  <c r="B46" i="43"/>
  <c r="B47" i="43"/>
  <c r="B48" i="43"/>
  <c r="B35" i="43"/>
  <c r="I25" i="43"/>
  <c r="I26" i="43"/>
  <c r="I27" i="43"/>
  <c r="H28" i="43"/>
  <c r="O28" i="43"/>
  <c r="I31" i="43"/>
  <c r="H32" i="43"/>
  <c r="P32" i="43"/>
  <c r="H33" i="43"/>
  <c r="P33" i="43"/>
  <c r="H34" i="43"/>
  <c r="O34" i="43"/>
  <c r="B43" i="43"/>
  <c r="P44" i="43"/>
  <c r="H45" i="43"/>
  <c r="O45" i="43"/>
  <c r="B49" i="43"/>
  <c r="L59" i="43"/>
  <c r="I28" i="43"/>
  <c r="I45" i="43"/>
  <c r="I46" i="42"/>
  <c r="C41" i="42"/>
  <c r="J41" i="42" s="1"/>
  <c r="I26" i="42"/>
  <c r="B44" i="42"/>
  <c r="H29" i="42"/>
  <c r="B57" i="42"/>
  <c r="P57" i="42" s="1"/>
  <c r="P40" i="42"/>
  <c r="O40" i="42"/>
  <c r="O27" i="42"/>
  <c r="J28" i="42"/>
  <c r="P29" i="42"/>
  <c r="H31" i="42"/>
  <c r="O29" i="42"/>
  <c r="I32" i="42"/>
  <c r="B47" i="42"/>
  <c r="P32" i="42"/>
  <c r="H32" i="42"/>
  <c r="C40" i="42"/>
  <c r="C57" i="42" s="1"/>
  <c r="I25" i="42"/>
  <c r="C42" i="42"/>
  <c r="I27" i="42"/>
  <c r="P28" i="42"/>
  <c r="O28" i="42"/>
  <c r="I29" i="42"/>
  <c r="I33" i="42"/>
  <c r="P33" i="42"/>
  <c r="H33" i="42"/>
  <c r="B48" i="42"/>
  <c r="O48" i="42" s="1"/>
  <c r="P34" i="42"/>
  <c r="O34" i="42"/>
  <c r="L61" i="42"/>
  <c r="O57" i="42"/>
  <c r="H26" i="42"/>
  <c r="I45" i="42"/>
  <c r="H45" i="42"/>
  <c r="H25" i="42"/>
  <c r="J26" i="42"/>
  <c r="H27" i="42"/>
  <c r="I28" i="42"/>
  <c r="B43" i="42"/>
  <c r="H28" i="42"/>
  <c r="J29" i="42"/>
  <c r="J31" i="42"/>
  <c r="O31" i="42"/>
  <c r="J32" i="42"/>
  <c r="I34" i="42"/>
  <c r="B49" i="42"/>
  <c r="H34" i="42"/>
  <c r="B35" i="42"/>
  <c r="J45" i="42"/>
  <c r="P58" i="42"/>
  <c r="B62" i="42"/>
  <c r="J46" i="42"/>
  <c r="B59" i="42"/>
  <c r="O41" i="42"/>
  <c r="O45" i="42"/>
  <c r="O46" i="42"/>
  <c r="O58" i="42"/>
  <c r="L59" i="42"/>
  <c r="L62" i="42"/>
  <c r="B63" i="42"/>
  <c r="H41" i="42"/>
  <c r="H46" i="42"/>
  <c r="O30" i="41"/>
  <c r="I46" i="41"/>
  <c r="H31" i="41"/>
  <c r="H27" i="41"/>
  <c r="I28" i="41"/>
  <c r="B43" i="41"/>
  <c r="H28" i="41"/>
  <c r="B35" i="41"/>
  <c r="B44" i="41"/>
  <c r="O44" i="41" s="1"/>
  <c r="H29" i="41"/>
  <c r="O29" i="41"/>
  <c r="B57" i="41"/>
  <c r="P40" i="41"/>
  <c r="O40" i="41"/>
  <c r="P41" i="41"/>
  <c r="H41" i="41"/>
  <c r="O41" i="41"/>
  <c r="H42" i="41"/>
  <c r="B59" i="41"/>
  <c r="P42" i="41"/>
  <c r="C40" i="41"/>
  <c r="H40" i="41" s="1"/>
  <c r="I25" i="41"/>
  <c r="P28" i="41"/>
  <c r="O28" i="41"/>
  <c r="I33" i="41"/>
  <c r="P33" i="41"/>
  <c r="H33" i="41"/>
  <c r="B48" i="41"/>
  <c r="P34" i="41"/>
  <c r="O34" i="41"/>
  <c r="J42" i="41"/>
  <c r="P44" i="41"/>
  <c r="H25" i="41"/>
  <c r="O31" i="41"/>
  <c r="I34" i="41"/>
  <c r="B49" i="41"/>
  <c r="H34" i="41"/>
  <c r="I45" i="41"/>
  <c r="H45" i="41"/>
  <c r="J25" i="41"/>
  <c r="H26" i="41"/>
  <c r="J27" i="41"/>
  <c r="O27" i="41"/>
  <c r="J28" i="41"/>
  <c r="I32" i="41"/>
  <c r="P32" i="41"/>
  <c r="H32" i="41"/>
  <c r="B47" i="41"/>
  <c r="O33" i="41"/>
  <c r="J34" i="41"/>
  <c r="I41" i="41"/>
  <c r="I42" i="41"/>
  <c r="J45" i="41"/>
  <c r="B62" i="41"/>
  <c r="L62" i="41"/>
  <c r="B63" i="41"/>
  <c r="I26" i="41"/>
  <c r="I27" i="41"/>
  <c r="O45" i="41"/>
  <c r="O46" i="41"/>
  <c r="L59" i="41"/>
  <c r="J46" i="41"/>
  <c r="H46" i="41"/>
  <c r="P27" i="40"/>
  <c r="J25" i="40"/>
  <c r="H27" i="40"/>
  <c r="J28" i="40"/>
  <c r="P30" i="40"/>
  <c r="J31" i="40"/>
  <c r="H42" i="40"/>
  <c r="H28" i="40"/>
  <c r="I27" i="40"/>
  <c r="I28" i="40"/>
  <c r="I32" i="40"/>
  <c r="I33" i="40"/>
  <c r="C58" i="40"/>
  <c r="J41" i="40"/>
  <c r="I41" i="40"/>
  <c r="J30" i="40"/>
  <c r="O33" i="40"/>
  <c r="B57" i="40"/>
  <c r="P40" i="40"/>
  <c r="O40" i="40"/>
  <c r="O42" i="40"/>
  <c r="L59" i="40"/>
  <c r="P46" i="40"/>
  <c r="H46" i="40"/>
  <c r="O46" i="40"/>
  <c r="B48" i="40"/>
  <c r="O48" i="40"/>
  <c r="O63" i="40"/>
  <c r="H26" i="40"/>
  <c r="B44" i="40"/>
  <c r="H29" i="40"/>
  <c r="O29" i="40"/>
  <c r="O32" i="40"/>
  <c r="P33" i="40"/>
  <c r="H34" i="40"/>
  <c r="B35" i="40"/>
  <c r="C40" i="40"/>
  <c r="C57" i="40" s="1"/>
  <c r="P42" i="40"/>
  <c r="B45" i="40"/>
  <c r="P45" i="40"/>
  <c r="P48" i="40"/>
  <c r="B63" i="40"/>
  <c r="H25" i="40"/>
  <c r="I26" i="40"/>
  <c r="P28" i="40"/>
  <c r="P29" i="40"/>
  <c r="H30" i="40"/>
  <c r="O30" i="40"/>
  <c r="O31" i="40"/>
  <c r="P32" i="40"/>
  <c r="H33" i="40"/>
  <c r="P41" i="40"/>
  <c r="H41" i="40"/>
  <c r="O41" i="40"/>
  <c r="I42" i="40"/>
  <c r="O45" i="40"/>
  <c r="I46" i="40"/>
  <c r="B47" i="40"/>
  <c r="B58" i="40"/>
  <c r="O58" i="40" s="1"/>
  <c r="L61" i="40"/>
  <c r="L65" i="40"/>
  <c r="J26" i="40"/>
  <c r="O28" i="40"/>
  <c r="I29" i="40"/>
  <c r="I30" i="40"/>
  <c r="H32" i="40"/>
  <c r="J33" i="40"/>
  <c r="I34" i="40"/>
  <c r="P34" i="40"/>
  <c r="J42" i="40"/>
  <c r="B43" i="40"/>
  <c r="J46" i="40"/>
  <c r="B49" i="40"/>
  <c r="B59" i="40"/>
  <c r="L62" i="40"/>
  <c r="O31" i="39"/>
  <c r="I26" i="39"/>
  <c r="P60" i="39"/>
  <c r="J60" i="39"/>
  <c r="B61" i="39"/>
  <c r="P61" i="39" s="1"/>
  <c r="J44" i="39"/>
  <c r="I44" i="39"/>
  <c r="O44" i="39"/>
  <c r="H44" i="39"/>
  <c r="P44" i="39"/>
  <c r="J30" i="39"/>
  <c r="O25" i="39"/>
  <c r="O26" i="39"/>
  <c r="I29" i="39"/>
  <c r="P29" i="39"/>
  <c r="H30" i="39"/>
  <c r="J32" i="39"/>
  <c r="J33" i="39"/>
  <c r="J34" i="39"/>
  <c r="B35" i="39"/>
  <c r="O43" i="39"/>
  <c r="B45" i="39"/>
  <c r="H49" i="39"/>
  <c r="P49" i="39"/>
  <c r="L65" i="39"/>
  <c r="B66" i="39"/>
  <c r="J29" i="39"/>
  <c r="I30" i="39"/>
  <c r="B40" i="39"/>
  <c r="B41" i="39"/>
  <c r="B42" i="39"/>
  <c r="P43" i="39"/>
  <c r="B46" i="39"/>
  <c r="B47" i="39"/>
  <c r="B48" i="39"/>
  <c r="O48" i="39" s="1"/>
  <c r="I49" i="39"/>
  <c r="J49" i="39"/>
  <c r="L59" i="39"/>
  <c r="I28" i="39"/>
  <c r="H29" i="39"/>
  <c r="H33" i="38"/>
  <c r="O27" i="38"/>
  <c r="I33" i="38"/>
  <c r="J49" i="38"/>
  <c r="O26" i="38"/>
  <c r="I26" i="38"/>
  <c r="H26" i="38"/>
  <c r="B41" i="38"/>
  <c r="P26" i="38"/>
  <c r="B59" i="38"/>
  <c r="P59" i="38" s="1"/>
  <c r="I42" i="38"/>
  <c r="J42" i="38"/>
  <c r="H42" i="38"/>
  <c r="I29" i="38"/>
  <c r="J29" i="38"/>
  <c r="H29" i="38"/>
  <c r="B44" i="38"/>
  <c r="C60" i="38"/>
  <c r="J60" i="38" s="1"/>
  <c r="J43" i="38"/>
  <c r="J30" i="38"/>
  <c r="I30" i="38"/>
  <c r="I43" i="38"/>
  <c r="J26" i="38"/>
  <c r="P28" i="38"/>
  <c r="O28" i="38"/>
  <c r="P29" i="38"/>
  <c r="O29" i="38"/>
  <c r="I32" i="38"/>
  <c r="H32" i="38"/>
  <c r="O42" i="38"/>
  <c r="C63" i="38"/>
  <c r="B35" i="38"/>
  <c r="O25" i="38"/>
  <c r="J25" i="38"/>
  <c r="H47" i="38"/>
  <c r="L65" i="38"/>
  <c r="P48" i="38"/>
  <c r="O48" i="38"/>
  <c r="O63" i="38"/>
  <c r="P25" i="38"/>
  <c r="H28" i="38"/>
  <c r="B63" i="38"/>
  <c r="J46" i="38"/>
  <c r="I46" i="38"/>
  <c r="J31" i="38"/>
  <c r="J48" i="38"/>
  <c r="I48" i="38"/>
  <c r="B65" i="38"/>
  <c r="H48" i="38"/>
  <c r="O34" i="38"/>
  <c r="H43" i="38"/>
  <c r="O43" i="38"/>
  <c r="L60" i="38"/>
  <c r="O46" i="38"/>
  <c r="I49" i="38"/>
  <c r="B66" i="38"/>
  <c r="P49" i="38"/>
  <c r="H49" i="38"/>
  <c r="O49" i="38"/>
  <c r="I64" i="38"/>
  <c r="H64" i="38"/>
  <c r="H25" i="38"/>
  <c r="J27" i="38"/>
  <c r="I28" i="38"/>
  <c r="B45" i="38"/>
  <c r="H30" i="38"/>
  <c r="O30" i="38"/>
  <c r="J47" i="38"/>
  <c r="I47" i="38"/>
  <c r="B40" i="38"/>
  <c r="P42" i="38"/>
  <c r="P43" i="38"/>
  <c r="P46" i="38"/>
  <c r="P47" i="38"/>
  <c r="J64" i="38"/>
  <c r="J32" i="38"/>
  <c r="J33" i="38"/>
  <c r="O64" i="38"/>
  <c r="P35" i="44" l="1"/>
  <c r="O35" i="43"/>
  <c r="I35" i="38"/>
  <c r="J40" i="44"/>
  <c r="O35" i="41"/>
  <c r="I40" i="40"/>
  <c r="J40" i="40"/>
  <c r="H40" i="40"/>
  <c r="H35" i="39"/>
  <c r="P35" i="45"/>
  <c r="P35" i="42"/>
  <c r="P42" i="42"/>
  <c r="J42" i="42"/>
  <c r="H42" i="42"/>
  <c r="J35" i="42"/>
  <c r="B58" i="41"/>
  <c r="J41" i="41"/>
  <c r="P35" i="41"/>
  <c r="H60" i="39"/>
  <c r="H43" i="39"/>
  <c r="O35" i="39"/>
  <c r="I60" i="39"/>
  <c r="I43" i="39"/>
  <c r="P35" i="39"/>
  <c r="J43" i="39"/>
  <c r="I60" i="38"/>
  <c r="O35" i="46"/>
  <c r="H35" i="46"/>
  <c r="J35" i="46"/>
  <c r="P35" i="46"/>
  <c r="O44" i="46"/>
  <c r="O49" i="46"/>
  <c r="I49" i="46"/>
  <c r="J49" i="46"/>
  <c r="P49" i="46"/>
  <c r="B66" i="46"/>
  <c r="H49" i="46"/>
  <c r="J42" i="46"/>
  <c r="I35" i="46"/>
  <c r="C58" i="46"/>
  <c r="I41" i="46"/>
  <c r="P47" i="46"/>
  <c r="H47" i="46"/>
  <c r="J47" i="46"/>
  <c r="B64" i="46"/>
  <c r="O47" i="46"/>
  <c r="I47" i="46"/>
  <c r="P62" i="46"/>
  <c r="O62" i="46"/>
  <c r="B61" i="46"/>
  <c r="J44" i="46"/>
  <c r="I44" i="46"/>
  <c r="H44" i="46"/>
  <c r="O59" i="46"/>
  <c r="P59" i="46"/>
  <c r="C59" i="46"/>
  <c r="H59" i="46" s="1"/>
  <c r="I42" i="46"/>
  <c r="O63" i="46"/>
  <c r="H63" i="46"/>
  <c r="J63" i="46"/>
  <c r="I63" i="46"/>
  <c r="P63" i="46"/>
  <c r="I62" i="46"/>
  <c r="H62" i="46"/>
  <c r="J62" i="46"/>
  <c r="B65" i="46"/>
  <c r="O48" i="46"/>
  <c r="H48" i="46"/>
  <c r="J48" i="46"/>
  <c r="P48" i="46"/>
  <c r="I48" i="46"/>
  <c r="C57" i="46"/>
  <c r="I40" i="46"/>
  <c r="I43" i="46"/>
  <c r="B60" i="46"/>
  <c r="J43" i="46"/>
  <c r="P43" i="46"/>
  <c r="H43" i="46"/>
  <c r="O43" i="46"/>
  <c r="O35" i="45"/>
  <c r="J35" i="45"/>
  <c r="O49" i="45"/>
  <c r="B66" i="45"/>
  <c r="J49" i="45"/>
  <c r="H49" i="45"/>
  <c r="I49" i="45"/>
  <c r="P49" i="45"/>
  <c r="B65" i="45"/>
  <c r="O48" i="45"/>
  <c r="H48" i="45"/>
  <c r="P48" i="45"/>
  <c r="J48" i="45"/>
  <c r="I48" i="45"/>
  <c r="H42" i="45"/>
  <c r="I42" i="45"/>
  <c r="P42" i="45"/>
  <c r="B59" i="45"/>
  <c r="P59" i="45" s="1"/>
  <c r="J42" i="45"/>
  <c r="O42" i="45"/>
  <c r="P47" i="45"/>
  <c r="H47" i="45"/>
  <c r="I47" i="45"/>
  <c r="B64" i="45"/>
  <c r="O47" i="45"/>
  <c r="J47" i="45"/>
  <c r="P41" i="45"/>
  <c r="H41" i="45"/>
  <c r="I41" i="45"/>
  <c r="O41" i="45"/>
  <c r="J41" i="45"/>
  <c r="B58" i="45"/>
  <c r="H35" i="45"/>
  <c r="O43" i="45"/>
  <c r="B60" i="45"/>
  <c r="J43" i="45"/>
  <c r="P43" i="45"/>
  <c r="I43" i="45"/>
  <c r="H43" i="45"/>
  <c r="I62" i="45"/>
  <c r="J62" i="45"/>
  <c r="H62" i="45"/>
  <c r="I35" i="45"/>
  <c r="P46" i="45"/>
  <c r="H46" i="45"/>
  <c r="I46" i="45"/>
  <c r="O46" i="45"/>
  <c r="B63" i="45"/>
  <c r="J46" i="45"/>
  <c r="B57" i="45"/>
  <c r="P40" i="45"/>
  <c r="H40" i="45"/>
  <c r="I40" i="45"/>
  <c r="O40" i="45"/>
  <c r="J40" i="45"/>
  <c r="P62" i="45"/>
  <c r="J61" i="45"/>
  <c r="I61" i="45"/>
  <c r="H61" i="45"/>
  <c r="O61" i="45"/>
  <c r="J35" i="44"/>
  <c r="O35" i="44"/>
  <c r="I40" i="44"/>
  <c r="I62" i="44"/>
  <c r="H62" i="44"/>
  <c r="J62" i="44"/>
  <c r="B61" i="44"/>
  <c r="J44" i="44"/>
  <c r="H44" i="44"/>
  <c r="I44" i="44"/>
  <c r="O61" i="44"/>
  <c r="P61" i="44"/>
  <c r="B60" i="44"/>
  <c r="J43" i="44"/>
  <c r="I43" i="44"/>
  <c r="P43" i="44"/>
  <c r="H43" i="44"/>
  <c r="O43" i="44"/>
  <c r="H35" i="44"/>
  <c r="P47" i="44"/>
  <c r="H47" i="44"/>
  <c r="B64" i="44"/>
  <c r="O47" i="44"/>
  <c r="J47" i="44"/>
  <c r="I47" i="44"/>
  <c r="P44" i="44"/>
  <c r="H59" i="44"/>
  <c r="J59" i="44"/>
  <c r="I59" i="44"/>
  <c r="J57" i="44"/>
  <c r="H57" i="44"/>
  <c r="I57" i="44"/>
  <c r="H63" i="44"/>
  <c r="J63" i="44"/>
  <c r="P63" i="44"/>
  <c r="I63" i="44"/>
  <c r="O59" i="44"/>
  <c r="P59" i="44"/>
  <c r="O49" i="44"/>
  <c r="I49" i="44"/>
  <c r="J49" i="44"/>
  <c r="P49" i="44"/>
  <c r="B66" i="44"/>
  <c r="H49" i="44"/>
  <c r="P57" i="44"/>
  <c r="I35" i="44"/>
  <c r="I58" i="44"/>
  <c r="H58" i="44"/>
  <c r="J58" i="44"/>
  <c r="O44" i="44"/>
  <c r="P62" i="44"/>
  <c r="O62" i="44"/>
  <c r="O58" i="44"/>
  <c r="O63" i="44"/>
  <c r="O57" i="44"/>
  <c r="J41" i="44"/>
  <c r="B65" i="44"/>
  <c r="H48" i="44"/>
  <c r="J48" i="44"/>
  <c r="P48" i="44"/>
  <c r="I48" i="44"/>
  <c r="H40" i="44"/>
  <c r="J35" i="43"/>
  <c r="I62" i="43"/>
  <c r="H62" i="43"/>
  <c r="J62" i="43"/>
  <c r="P62" i="43"/>
  <c r="O49" i="43"/>
  <c r="J49" i="43"/>
  <c r="B66" i="43"/>
  <c r="P49" i="43"/>
  <c r="I49" i="43"/>
  <c r="H49" i="43"/>
  <c r="O43" i="43"/>
  <c r="B60" i="43"/>
  <c r="J43" i="43"/>
  <c r="P43" i="43"/>
  <c r="I43" i="43"/>
  <c r="H43" i="43"/>
  <c r="I35" i="43"/>
  <c r="B65" i="43"/>
  <c r="O48" i="43"/>
  <c r="H48" i="43"/>
  <c r="I48" i="43"/>
  <c r="P48" i="43"/>
  <c r="J48" i="43"/>
  <c r="H42" i="43"/>
  <c r="I42" i="43"/>
  <c r="P42" i="43"/>
  <c r="B59" i="43"/>
  <c r="O59" i="43" s="1"/>
  <c r="J42" i="43"/>
  <c r="J61" i="43"/>
  <c r="I61" i="43"/>
  <c r="H61" i="43"/>
  <c r="P47" i="43"/>
  <c r="H47" i="43"/>
  <c r="B64" i="43"/>
  <c r="O47" i="43"/>
  <c r="I47" i="43"/>
  <c r="J47" i="43"/>
  <c r="P41" i="43"/>
  <c r="H41" i="43"/>
  <c r="I41" i="43"/>
  <c r="O41" i="43"/>
  <c r="B58" i="43"/>
  <c r="J41" i="43"/>
  <c r="P35" i="43"/>
  <c r="P46" i="43"/>
  <c r="H46" i="43"/>
  <c r="O46" i="43"/>
  <c r="I46" i="43"/>
  <c r="B63" i="43"/>
  <c r="J46" i="43"/>
  <c r="B57" i="43"/>
  <c r="P40" i="43"/>
  <c r="H40" i="43"/>
  <c r="I40" i="43"/>
  <c r="O40" i="43"/>
  <c r="J40" i="43"/>
  <c r="H35" i="43"/>
  <c r="O61" i="43"/>
  <c r="O62" i="43"/>
  <c r="O35" i="42"/>
  <c r="J40" i="42"/>
  <c r="H40" i="42"/>
  <c r="P43" i="42"/>
  <c r="I43" i="42"/>
  <c r="B60" i="42"/>
  <c r="J43" i="42"/>
  <c r="O43" i="42"/>
  <c r="H43" i="42"/>
  <c r="B61" i="42"/>
  <c r="J44" i="42"/>
  <c r="H44" i="42"/>
  <c r="I44" i="42"/>
  <c r="O49" i="42"/>
  <c r="I49" i="42"/>
  <c r="J49" i="42"/>
  <c r="P49" i="42"/>
  <c r="B66" i="42"/>
  <c r="H49" i="42"/>
  <c r="B65" i="42"/>
  <c r="H48" i="42"/>
  <c r="J48" i="42"/>
  <c r="P48" i="42"/>
  <c r="I48" i="42"/>
  <c r="C59" i="42"/>
  <c r="J59" i="42" s="1"/>
  <c r="I42" i="42"/>
  <c r="P44" i="42"/>
  <c r="I40" i="42"/>
  <c r="P62" i="42"/>
  <c r="O62" i="42"/>
  <c r="H35" i="42"/>
  <c r="I35" i="42"/>
  <c r="O44" i="42"/>
  <c r="J57" i="42"/>
  <c r="H57" i="42"/>
  <c r="I57" i="42"/>
  <c r="C58" i="42"/>
  <c r="I41" i="42"/>
  <c r="O63" i="42"/>
  <c r="H63" i="42"/>
  <c r="J63" i="42"/>
  <c r="I63" i="42"/>
  <c r="P63" i="42"/>
  <c r="O59" i="42"/>
  <c r="P59" i="42"/>
  <c r="I62" i="42"/>
  <c r="H62" i="42"/>
  <c r="J62" i="42"/>
  <c r="O61" i="42"/>
  <c r="P61" i="42"/>
  <c r="P47" i="42"/>
  <c r="H47" i="42"/>
  <c r="B64" i="42"/>
  <c r="O47" i="42"/>
  <c r="J47" i="42"/>
  <c r="I47" i="42"/>
  <c r="H35" i="41"/>
  <c r="I35" i="41"/>
  <c r="P62" i="41"/>
  <c r="O62" i="41"/>
  <c r="P47" i="41"/>
  <c r="H47" i="41"/>
  <c r="J47" i="41"/>
  <c r="B64" i="41"/>
  <c r="O47" i="41"/>
  <c r="I47" i="41"/>
  <c r="H59" i="41"/>
  <c r="J59" i="41"/>
  <c r="I59" i="41"/>
  <c r="P57" i="41"/>
  <c r="J35" i="41"/>
  <c r="O49" i="41"/>
  <c r="J49" i="41"/>
  <c r="I49" i="41"/>
  <c r="P49" i="41"/>
  <c r="B66" i="41"/>
  <c r="H49" i="41"/>
  <c r="B65" i="41"/>
  <c r="H48" i="41"/>
  <c r="J48" i="41"/>
  <c r="P48" i="41"/>
  <c r="I48" i="41"/>
  <c r="O48" i="41"/>
  <c r="P43" i="41"/>
  <c r="B60" i="41"/>
  <c r="J43" i="41"/>
  <c r="I43" i="41"/>
  <c r="H43" i="41"/>
  <c r="O43" i="41"/>
  <c r="O59" i="41"/>
  <c r="P59" i="41"/>
  <c r="I62" i="41"/>
  <c r="H62" i="41"/>
  <c r="J62" i="41"/>
  <c r="C57" i="41"/>
  <c r="J57" i="41" s="1"/>
  <c r="I40" i="41"/>
  <c r="J40" i="41"/>
  <c r="O63" i="41"/>
  <c r="H63" i="41"/>
  <c r="J63" i="41"/>
  <c r="P63" i="41"/>
  <c r="I63" i="41"/>
  <c r="B61" i="41"/>
  <c r="J44" i="41"/>
  <c r="H44" i="41"/>
  <c r="I44" i="41"/>
  <c r="O57" i="41"/>
  <c r="O35" i="40"/>
  <c r="I35" i="40"/>
  <c r="P35" i="40"/>
  <c r="J35" i="40"/>
  <c r="B60" i="40"/>
  <c r="J43" i="40"/>
  <c r="P43" i="40"/>
  <c r="I43" i="40"/>
  <c r="O43" i="40"/>
  <c r="H43" i="40"/>
  <c r="J57" i="40"/>
  <c r="I57" i="40"/>
  <c r="H57" i="40"/>
  <c r="H59" i="40"/>
  <c r="J59" i="40"/>
  <c r="I59" i="40"/>
  <c r="I58" i="40"/>
  <c r="H58" i="40"/>
  <c r="J58" i="40"/>
  <c r="P58" i="40"/>
  <c r="I45" i="40"/>
  <c r="H45" i="40"/>
  <c r="B62" i="40"/>
  <c r="O62" i="40" s="1"/>
  <c r="J45" i="40"/>
  <c r="P57" i="40"/>
  <c r="O49" i="40"/>
  <c r="J49" i="40"/>
  <c r="I49" i="40"/>
  <c r="H49" i="40"/>
  <c r="B66" i="40"/>
  <c r="P49" i="40"/>
  <c r="P47" i="40"/>
  <c r="H47" i="40"/>
  <c r="B64" i="40"/>
  <c r="O47" i="40"/>
  <c r="J47" i="40"/>
  <c r="I47" i="40"/>
  <c r="H35" i="40"/>
  <c r="O57" i="40"/>
  <c r="B61" i="40"/>
  <c r="J44" i="40"/>
  <c r="I44" i="40"/>
  <c r="P44" i="40"/>
  <c r="H44" i="40"/>
  <c r="H63" i="40"/>
  <c r="J63" i="40"/>
  <c r="I63" i="40"/>
  <c r="P63" i="40"/>
  <c r="B65" i="40"/>
  <c r="H48" i="40"/>
  <c r="J48" i="40"/>
  <c r="I48" i="40"/>
  <c r="O59" i="40"/>
  <c r="P59" i="40"/>
  <c r="O44" i="40"/>
  <c r="I35" i="39"/>
  <c r="Q35" i="39" s="1"/>
  <c r="J35" i="39"/>
  <c r="P47" i="39"/>
  <c r="H47" i="39"/>
  <c r="B64" i="39"/>
  <c r="J47" i="39"/>
  <c r="I47" i="39"/>
  <c r="O47" i="39"/>
  <c r="H42" i="39"/>
  <c r="B59" i="39"/>
  <c r="J42" i="39"/>
  <c r="I42" i="39"/>
  <c r="J61" i="39"/>
  <c r="I61" i="39"/>
  <c r="H61" i="39"/>
  <c r="O61" i="39"/>
  <c r="O42" i="39"/>
  <c r="P45" i="39"/>
  <c r="I45" i="39"/>
  <c r="H45" i="39"/>
  <c r="B62" i="39"/>
  <c r="J45" i="39"/>
  <c r="O45" i="39"/>
  <c r="P46" i="39"/>
  <c r="H46" i="39"/>
  <c r="B63" i="39"/>
  <c r="J46" i="39"/>
  <c r="I46" i="39"/>
  <c r="O46" i="39"/>
  <c r="P41" i="39"/>
  <c r="H41" i="39"/>
  <c r="J41" i="39"/>
  <c r="B58" i="39"/>
  <c r="I41" i="39"/>
  <c r="O41" i="39"/>
  <c r="I66" i="39"/>
  <c r="H66" i="39"/>
  <c r="J66" i="39"/>
  <c r="O66" i="39"/>
  <c r="B65" i="39"/>
  <c r="H48" i="39"/>
  <c r="J48" i="39"/>
  <c r="I48" i="39"/>
  <c r="B57" i="39"/>
  <c r="P40" i="39"/>
  <c r="H40" i="39"/>
  <c r="J40" i="39"/>
  <c r="I40" i="39"/>
  <c r="O40" i="39"/>
  <c r="P65" i="39"/>
  <c r="O65" i="39"/>
  <c r="P48" i="39"/>
  <c r="P42" i="39"/>
  <c r="P66" i="39"/>
  <c r="H60" i="38"/>
  <c r="P35" i="38"/>
  <c r="O35" i="38"/>
  <c r="I40" i="38"/>
  <c r="B57" i="38"/>
  <c r="O40" i="38"/>
  <c r="J40" i="38"/>
  <c r="H40" i="38"/>
  <c r="P40" i="38"/>
  <c r="H35" i="38"/>
  <c r="J66" i="38"/>
  <c r="P66" i="38"/>
  <c r="I66" i="38"/>
  <c r="O66" i="38"/>
  <c r="H66" i="38"/>
  <c r="P60" i="38"/>
  <c r="O60" i="38"/>
  <c r="O65" i="38"/>
  <c r="P65" i="38"/>
  <c r="B58" i="38"/>
  <c r="I41" i="38"/>
  <c r="H41" i="38"/>
  <c r="P41" i="38"/>
  <c r="O41" i="38"/>
  <c r="J41" i="38"/>
  <c r="B62" i="38"/>
  <c r="J45" i="38"/>
  <c r="P45" i="38"/>
  <c r="H45" i="38"/>
  <c r="O45" i="38"/>
  <c r="I45" i="38"/>
  <c r="H65" i="38"/>
  <c r="J65" i="38"/>
  <c r="I65" i="38"/>
  <c r="J59" i="38"/>
  <c r="I59" i="38"/>
  <c r="H59" i="38"/>
  <c r="J63" i="38"/>
  <c r="I63" i="38"/>
  <c r="H63" i="38"/>
  <c r="P63" i="38"/>
  <c r="J35" i="38"/>
  <c r="O59" i="38"/>
  <c r="B61" i="38"/>
  <c r="O44" i="38"/>
  <c r="H44" i="38"/>
  <c r="J44" i="38"/>
  <c r="P44" i="38"/>
  <c r="I44" i="38"/>
  <c r="P50" i="41" l="1"/>
  <c r="O50" i="40"/>
  <c r="J50" i="44"/>
  <c r="O50" i="44"/>
  <c r="P50" i="43"/>
  <c r="P59" i="43"/>
  <c r="I59" i="42"/>
  <c r="H59" i="42"/>
  <c r="Q35" i="41"/>
  <c r="J58" i="41"/>
  <c r="H58" i="41"/>
  <c r="I58" i="41"/>
  <c r="P58" i="41"/>
  <c r="O58" i="41"/>
  <c r="Q35" i="40"/>
  <c r="J50" i="39"/>
  <c r="Q35" i="46"/>
  <c r="O50" i="46"/>
  <c r="I59" i="46"/>
  <c r="J50" i="46"/>
  <c r="J59" i="46"/>
  <c r="H50" i="46"/>
  <c r="P50" i="46"/>
  <c r="I50" i="46"/>
  <c r="J61" i="46"/>
  <c r="I61" i="46"/>
  <c r="H61" i="46"/>
  <c r="I57" i="46"/>
  <c r="H57" i="46"/>
  <c r="J57" i="46"/>
  <c r="P61" i="46"/>
  <c r="I66" i="46"/>
  <c r="H66" i="46"/>
  <c r="J66" i="46"/>
  <c r="O66" i="46"/>
  <c r="P66" i="46"/>
  <c r="J65" i="46"/>
  <c r="I65" i="46"/>
  <c r="H65" i="46"/>
  <c r="P65" i="46"/>
  <c r="O65" i="46"/>
  <c r="I58" i="46"/>
  <c r="H58" i="46"/>
  <c r="J58" i="46"/>
  <c r="J64" i="46"/>
  <c r="P64" i="46"/>
  <c r="I64" i="46"/>
  <c r="O64" i="46"/>
  <c r="H64" i="46"/>
  <c r="O61" i="46"/>
  <c r="J60" i="46"/>
  <c r="I60" i="46"/>
  <c r="H60" i="46"/>
  <c r="O60" i="46"/>
  <c r="P60" i="46"/>
  <c r="B67" i="46"/>
  <c r="H50" i="45"/>
  <c r="O63" i="45"/>
  <c r="H63" i="45"/>
  <c r="P63" i="45"/>
  <c r="I63" i="45"/>
  <c r="J63" i="45"/>
  <c r="O64" i="45"/>
  <c r="J64" i="45"/>
  <c r="H64" i="45"/>
  <c r="P64" i="45"/>
  <c r="I64" i="45"/>
  <c r="H59" i="45"/>
  <c r="I59" i="45"/>
  <c r="J59" i="45"/>
  <c r="J50" i="45"/>
  <c r="P50" i="45"/>
  <c r="H60" i="45"/>
  <c r="J60" i="45"/>
  <c r="I60" i="45"/>
  <c r="O60" i="45"/>
  <c r="P60" i="45"/>
  <c r="O59" i="45"/>
  <c r="J65" i="45"/>
  <c r="I65" i="45"/>
  <c r="H65" i="45"/>
  <c r="O65" i="45"/>
  <c r="P65" i="45"/>
  <c r="O50" i="45"/>
  <c r="J57" i="45"/>
  <c r="B67" i="45"/>
  <c r="I57" i="45"/>
  <c r="H57" i="45"/>
  <c r="P57" i="45"/>
  <c r="O57" i="45"/>
  <c r="I66" i="45"/>
  <c r="H66" i="45"/>
  <c r="J66" i="45"/>
  <c r="P66" i="45"/>
  <c r="O66" i="45"/>
  <c r="I58" i="45"/>
  <c r="J58" i="45"/>
  <c r="H58" i="45"/>
  <c r="O58" i="45"/>
  <c r="P58" i="45"/>
  <c r="I50" i="45"/>
  <c r="Q35" i="45"/>
  <c r="P50" i="44"/>
  <c r="H50" i="44"/>
  <c r="Q50" i="44" s="1"/>
  <c r="I50" i="44"/>
  <c r="I60" i="44"/>
  <c r="J60" i="44"/>
  <c r="H60" i="44"/>
  <c r="P60" i="44"/>
  <c r="O60" i="44"/>
  <c r="Q35" i="44"/>
  <c r="I66" i="44"/>
  <c r="H66" i="44"/>
  <c r="J66" i="44"/>
  <c r="P66" i="44"/>
  <c r="O66" i="44"/>
  <c r="J65" i="44"/>
  <c r="H65" i="44"/>
  <c r="I65" i="44"/>
  <c r="O65" i="44"/>
  <c r="P65" i="44"/>
  <c r="B67" i="44"/>
  <c r="P64" i="44"/>
  <c r="I64" i="44"/>
  <c r="J64" i="44"/>
  <c r="O64" i="44"/>
  <c r="H64" i="44"/>
  <c r="J61" i="44"/>
  <c r="H61" i="44"/>
  <c r="I61" i="44"/>
  <c r="J50" i="43"/>
  <c r="O50" i="43"/>
  <c r="I50" i="43"/>
  <c r="H60" i="43"/>
  <c r="J60" i="43"/>
  <c r="I60" i="43"/>
  <c r="O60" i="43"/>
  <c r="P60" i="43"/>
  <c r="Q35" i="43"/>
  <c r="H50" i="43"/>
  <c r="O63" i="43"/>
  <c r="H63" i="43"/>
  <c r="I63" i="43"/>
  <c r="J63" i="43"/>
  <c r="P63" i="43"/>
  <c r="H59" i="43"/>
  <c r="I59" i="43"/>
  <c r="J59" i="43"/>
  <c r="I66" i="43"/>
  <c r="J66" i="43"/>
  <c r="H66" i="43"/>
  <c r="O66" i="43"/>
  <c r="P66" i="43"/>
  <c r="P58" i="43"/>
  <c r="I58" i="43"/>
  <c r="H58" i="43"/>
  <c r="J58" i="43"/>
  <c r="O58" i="43"/>
  <c r="H64" i="43"/>
  <c r="J64" i="43"/>
  <c r="O64" i="43"/>
  <c r="I64" i="43"/>
  <c r="P64" i="43"/>
  <c r="J65" i="43"/>
  <c r="I65" i="43"/>
  <c r="H65" i="43"/>
  <c r="O65" i="43"/>
  <c r="P65" i="43"/>
  <c r="J57" i="43"/>
  <c r="I57" i="43"/>
  <c r="B67" i="43"/>
  <c r="H57" i="43"/>
  <c r="P57" i="43"/>
  <c r="O57" i="43"/>
  <c r="H50" i="42"/>
  <c r="J50" i="42"/>
  <c r="P50" i="42"/>
  <c r="O50" i="42"/>
  <c r="P64" i="42"/>
  <c r="I64" i="42"/>
  <c r="J64" i="42"/>
  <c r="O64" i="42"/>
  <c r="H64" i="42"/>
  <c r="B67" i="42"/>
  <c r="I66" i="42"/>
  <c r="H66" i="42"/>
  <c r="J66" i="42"/>
  <c r="O66" i="42"/>
  <c r="P66" i="42"/>
  <c r="J61" i="42"/>
  <c r="H61" i="42"/>
  <c r="I61" i="42"/>
  <c r="I60" i="42"/>
  <c r="J60" i="42"/>
  <c r="H60" i="42"/>
  <c r="O60" i="42"/>
  <c r="P60" i="42"/>
  <c r="Q35" i="42"/>
  <c r="I50" i="42"/>
  <c r="J65" i="42"/>
  <c r="H65" i="42"/>
  <c r="I65" i="42"/>
  <c r="O65" i="42"/>
  <c r="P65" i="42"/>
  <c r="H58" i="42"/>
  <c r="I58" i="42"/>
  <c r="J58" i="42"/>
  <c r="H50" i="41"/>
  <c r="O50" i="41"/>
  <c r="I57" i="41"/>
  <c r="H57" i="41"/>
  <c r="J50" i="41"/>
  <c r="J60" i="41"/>
  <c r="I60" i="41"/>
  <c r="H60" i="41"/>
  <c r="O60" i="41"/>
  <c r="P60" i="41"/>
  <c r="I66" i="41"/>
  <c r="H66" i="41"/>
  <c r="J66" i="41"/>
  <c r="P66" i="41"/>
  <c r="O66" i="41"/>
  <c r="J65" i="41"/>
  <c r="I65" i="41"/>
  <c r="H65" i="41"/>
  <c r="O65" i="41"/>
  <c r="P65" i="41"/>
  <c r="J64" i="41"/>
  <c r="P64" i="41"/>
  <c r="I64" i="41"/>
  <c r="O64" i="41"/>
  <c r="H64" i="41"/>
  <c r="J61" i="41"/>
  <c r="I61" i="41"/>
  <c r="H61" i="41"/>
  <c r="P61" i="41"/>
  <c r="O61" i="41"/>
  <c r="I50" i="41"/>
  <c r="B67" i="41"/>
  <c r="H50" i="40"/>
  <c r="J50" i="40"/>
  <c r="P50" i="40"/>
  <c r="I50" i="40"/>
  <c r="J65" i="40"/>
  <c r="I65" i="40"/>
  <c r="H65" i="40"/>
  <c r="J61" i="40"/>
  <c r="I61" i="40"/>
  <c r="H61" i="40"/>
  <c r="O65" i="40"/>
  <c r="J60" i="40"/>
  <c r="O60" i="40"/>
  <c r="I60" i="40"/>
  <c r="H60" i="40"/>
  <c r="P60" i="40"/>
  <c r="P65" i="40"/>
  <c r="J64" i="40"/>
  <c r="P64" i="40"/>
  <c r="H64" i="40"/>
  <c r="O64" i="40"/>
  <c r="I64" i="40"/>
  <c r="B67" i="40"/>
  <c r="O61" i="40"/>
  <c r="I66" i="40"/>
  <c r="H66" i="40"/>
  <c r="J66" i="40"/>
  <c r="P66" i="40"/>
  <c r="O66" i="40"/>
  <c r="I62" i="40"/>
  <c r="H62" i="40"/>
  <c r="J62" i="40"/>
  <c r="P61" i="40"/>
  <c r="P62" i="40"/>
  <c r="H50" i="39"/>
  <c r="H63" i="39"/>
  <c r="J63" i="39"/>
  <c r="I63" i="39"/>
  <c r="O63" i="39"/>
  <c r="P63" i="39"/>
  <c r="H59" i="39"/>
  <c r="J59" i="39"/>
  <c r="I59" i="39"/>
  <c r="P59" i="39"/>
  <c r="O50" i="39"/>
  <c r="P50" i="39"/>
  <c r="I58" i="39"/>
  <c r="O58" i="39"/>
  <c r="J58" i="39"/>
  <c r="H58" i="39"/>
  <c r="P58" i="39"/>
  <c r="I62" i="39"/>
  <c r="H62" i="39"/>
  <c r="J62" i="39"/>
  <c r="P62" i="39"/>
  <c r="O62" i="39"/>
  <c r="P64" i="39"/>
  <c r="I64" i="39"/>
  <c r="O64" i="39"/>
  <c r="H64" i="39"/>
  <c r="J64" i="39"/>
  <c r="O59" i="39"/>
  <c r="I50" i="39"/>
  <c r="J57" i="39"/>
  <c r="P57" i="39"/>
  <c r="H57" i="39"/>
  <c r="B67" i="39"/>
  <c r="I57" i="39"/>
  <c r="O57" i="39"/>
  <c r="J65" i="39"/>
  <c r="H65" i="39"/>
  <c r="I65" i="39"/>
  <c r="J50" i="38"/>
  <c r="J62" i="38"/>
  <c r="I62" i="38"/>
  <c r="H62" i="38"/>
  <c r="O62" i="38"/>
  <c r="P62" i="38"/>
  <c r="Q35" i="38"/>
  <c r="O50" i="38"/>
  <c r="P50" i="38"/>
  <c r="H57" i="38"/>
  <c r="B67" i="38"/>
  <c r="J57" i="38"/>
  <c r="P57" i="38"/>
  <c r="I57" i="38"/>
  <c r="O57" i="38"/>
  <c r="H61" i="38"/>
  <c r="J61" i="38"/>
  <c r="P61" i="38"/>
  <c r="I61" i="38"/>
  <c r="O61" i="38"/>
  <c r="J58" i="38"/>
  <c r="P58" i="38"/>
  <c r="I58" i="38"/>
  <c r="O58" i="38"/>
  <c r="H58" i="38"/>
  <c r="H50" i="38"/>
  <c r="I50" i="38"/>
  <c r="Q50" i="46" l="1"/>
  <c r="Q50" i="41"/>
  <c r="Q51" i="41" s="1"/>
  <c r="R51" i="41" s="1"/>
  <c r="H67" i="44"/>
  <c r="H67" i="39"/>
  <c r="P67" i="39"/>
  <c r="Q51" i="46"/>
  <c r="R51" i="46" s="1"/>
  <c r="P67" i="46"/>
  <c r="J67" i="46"/>
  <c r="H67" i="46"/>
  <c r="O67" i="46"/>
  <c r="I67" i="46"/>
  <c r="Q50" i="45"/>
  <c r="Q51" i="45" s="1"/>
  <c r="R51" i="45" s="1"/>
  <c r="J67" i="45"/>
  <c r="H67" i="45"/>
  <c r="I67" i="45"/>
  <c r="P67" i="45"/>
  <c r="O67" i="45"/>
  <c r="P67" i="44"/>
  <c r="J67" i="44"/>
  <c r="O67" i="44"/>
  <c r="I67" i="44"/>
  <c r="Q51" i="44"/>
  <c r="R51" i="44" s="1"/>
  <c r="J67" i="43"/>
  <c r="H67" i="43"/>
  <c r="Q50" i="43"/>
  <c r="Q51" i="43" s="1"/>
  <c r="R51" i="43" s="1"/>
  <c r="P67" i="43"/>
  <c r="O67" i="43"/>
  <c r="I67" i="43"/>
  <c r="I67" i="42"/>
  <c r="O67" i="42"/>
  <c r="J67" i="42"/>
  <c r="Q50" i="42"/>
  <c r="Q51" i="42" s="1"/>
  <c r="R51" i="42" s="1"/>
  <c r="H67" i="42"/>
  <c r="P67" i="42"/>
  <c r="O67" i="41"/>
  <c r="P67" i="41"/>
  <c r="J67" i="41"/>
  <c r="H67" i="41"/>
  <c r="I67" i="41"/>
  <c r="I67" i="40"/>
  <c r="O67" i="40"/>
  <c r="H67" i="40"/>
  <c r="P67" i="40"/>
  <c r="J67" i="40"/>
  <c r="Q50" i="40"/>
  <c r="Q51" i="40" s="1"/>
  <c r="R51" i="40" s="1"/>
  <c r="O67" i="39"/>
  <c r="I67" i="39"/>
  <c r="J67" i="39"/>
  <c r="Q50" i="39"/>
  <c r="Q51" i="39" s="1"/>
  <c r="R51" i="39" s="1"/>
  <c r="J67" i="38"/>
  <c r="O67" i="38"/>
  <c r="Q50" i="38"/>
  <c r="Q51" i="38" s="1"/>
  <c r="R51" i="38" s="1"/>
  <c r="I67" i="38"/>
  <c r="H67" i="38"/>
  <c r="P67" i="38"/>
  <c r="Q67" i="46" l="1"/>
  <c r="Q68" i="46" s="1"/>
  <c r="Q67" i="45"/>
  <c r="Q68" i="45" s="1"/>
  <c r="Q67" i="44"/>
  <c r="Q68" i="44" s="1"/>
  <c r="Q67" i="43"/>
  <c r="Q68" i="43" s="1"/>
  <c r="Q67" i="42"/>
  <c r="Q68" i="42" s="1"/>
  <c r="Q67" i="41"/>
  <c r="Q68" i="41" s="1"/>
  <c r="Q67" i="40"/>
  <c r="Q68" i="40" s="1"/>
  <c r="Q67" i="39"/>
  <c r="Q68" i="39" s="1"/>
  <c r="Q67" i="38"/>
  <c r="Q68" i="38" s="1"/>
  <c r="F17" i="35" l="1"/>
</calcChain>
</file>

<file path=xl/comments1.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2.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3.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4.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5.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6.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7.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8.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comments9.xml><?xml version="1.0" encoding="utf-8"?>
<comments xmlns="http://schemas.openxmlformats.org/spreadsheetml/2006/main">
  <authors>
    <author>LvdW</author>
  </authors>
  <commentList>
    <comment ref="E23" authorId="0" shapeId="0">
      <text>
        <r>
          <rPr>
            <b/>
            <sz val="8"/>
            <color indexed="81"/>
            <rFont val="Tahoma"/>
            <family val="2"/>
          </rPr>
          <t>Source: OIG</t>
        </r>
      </text>
    </comment>
    <comment ref="E38" authorId="0" shapeId="0">
      <text>
        <r>
          <rPr>
            <b/>
            <sz val="8"/>
            <color indexed="81"/>
            <rFont val="Tahoma"/>
            <family val="2"/>
          </rPr>
          <t>Source: OIG</t>
        </r>
      </text>
    </comment>
  </commentList>
</comments>
</file>

<file path=xl/sharedStrings.xml><?xml version="1.0" encoding="utf-8"?>
<sst xmlns="http://schemas.openxmlformats.org/spreadsheetml/2006/main" count="884" uniqueCount="146">
  <si>
    <t xml:space="preserve"># benes </t>
  </si>
  <si>
    <t>Year 1</t>
  </si>
  <si>
    <t>Year 2</t>
  </si>
  <si>
    <t>Year 3</t>
  </si>
  <si>
    <t>Year 4</t>
  </si>
  <si>
    <t>Year 5</t>
  </si>
  <si>
    <t>Total</t>
  </si>
  <si>
    <t xml:space="preserve"> </t>
  </si>
  <si>
    <t>to Equip</t>
  </si>
  <si>
    <t>Owners</t>
  </si>
  <si>
    <t>Monthly</t>
  </si>
  <si>
    <t>Payment</t>
  </si>
  <si>
    <t>% O2 Users at Midpoint of:</t>
  </si>
  <si>
    <t>at Midpoint of</t>
  </si>
  <si>
    <t xml:space="preserve">budget </t>
  </si>
  <si>
    <t>neutral</t>
  </si>
  <si>
    <t>rate</t>
  </si>
  <si>
    <t>Year1</t>
  </si>
  <si>
    <t>year 4</t>
  </si>
  <si>
    <t>year 5</t>
  </si>
  <si>
    <t>budget neutrality inputted:</t>
  </si>
  <si>
    <t xml:space="preserve">   </t>
  </si>
  <si>
    <t>All DME Jurisdictions</t>
  </si>
  <si>
    <t/>
  </si>
  <si>
    <t>Portable Equipment</t>
  </si>
  <si>
    <t>Stationary
Equipment</t>
  </si>
  <si>
    <t>E0431</t>
  </si>
  <si>
    <t>E0433</t>
  </si>
  <si>
    <t>E0434</t>
  </si>
  <si>
    <t>E1392</t>
  </si>
  <si>
    <t>K0738</t>
  </si>
  <si>
    <t>None</t>
  </si>
  <si>
    <t>E1390</t>
  </si>
  <si>
    <t>Source of Report: PDAC Reporting</t>
  </si>
  <si>
    <t>Final action claims, excluding denied claims</t>
  </si>
  <si>
    <t>Stationary HCPCS Codes requested: E0424, E0439, E1390, E1391, E1405, E1406</t>
  </si>
  <si>
    <t>Portable HCPCS Codes requested: E0431, E0433, E0434, E1392, K0738</t>
  </si>
  <si>
    <t>* Rental considered starting if no oxygen rental claims in previous 90 days</t>
  </si>
  <si>
    <t>There were no data meeting the requested criteria for HCPCS code E1405.</t>
  </si>
  <si>
    <t>Note: Beneficiaries with claims for multiple stationary or multiple portable HCPCS 
         codes were excluded (e.g., E0424 and E1390, or E0431 and E1392). These  
         excluded beneficiaries made up approximately 0.01% of July's beneficiaries.</t>
  </si>
  <si>
    <t>Final action claims, exclude denials</t>
  </si>
  <si>
    <t>Run Date: 07/31/2012</t>
  </si>
  <si>
    <t>CONFIDENTIALITY NOTICE: This document may contain confidential and privileged information or may otherwise be protected by law. It is intended for use by CMS and Medicare contractors as approved per the PDAC contract administered by Noridian Administrative Services.  Any unauthorized review, use, disclosure or distribution is prohibited.</t>
  </si>
  <si>
    <t>transfill equipment without stationary</t>
  </si>
  <si>
    <t>Note: Beneficiaries with claims for multiple stationary or multiple portable HCPCS</t>
  </si>
  <si>
    <t>Inputs</t>
  </si>
  <si>
    <t>E0441</t>
  </si>
  <si>
    <t># of benes</t>
  </si>
  <si>
    <t>Tab “cross tab types” is the count of the different types of oxygen systems such as stationary oxygen only and stationary oxygen with OGPE.</t>
  </si>
  <si>
    <t>Tabs “region1” through “region8” follow the “non-contiguous” documentation</t>
  </si>
  <si>
    <t xml:space="preserve">Tab “non-contiguous” inputs the “cross tab types” counts and inputs RSPAs for E0431, E0441, E1390 and E1392.( The source of the RSPA values is the “RSPA” tab in G:\CCPG\DDP\Fee Adjustment – Jan 2017/RSPA respiratory – Jan 2017.xlsx.)  </t>
  </si>
  <si>
    <t>The inputs automatically calculate the aggregate spending for oxygen pre-DRA rules (step 2)and post-DRA rules(step 3).</t>
  </si>
  <si>
    <t xml:space="preserve"> A percentage reduction is inputted into the cell named “budget neutrality inputted:” that yields an aggregate spending in step 4 equal to step 2.</t>
  </si>
  <si>
    <t>Tab “summary regional” gathers the values for the stationary oxygen rate that has the budget neutrality offset from the nine previous tabs.</t>
  </si>
  <si>
    <t xml:space="preserve"> These values will be inputted into G:\CCPG\DDP\Fee Adjustment – Jan 2017/RSPA respiratory  BN– Jan 2017.xlsx in the “adjRSPA” tab.</t>
  </si>
  <si>
    <t>Any unauthorized review, use, disclosure or distribution is prohibited.</t>
  </si>
  <si>
    <t>Step 2:  Calculate oxygen reimbursement w/ OGPE and LOX add-on and LOX contents</t>
  </si>
  <si>
    <t>Step 1:  Calculate oxygen reimbursement w/o OGPE and LOX add-on and LOX contents</t>
  </si>
  <si>
    <t>unadjusted fees</t>
  </si>
  <si>
    <t>contents only</t>
  </si>
  <si>
    <t>stationary +portable</t>
  </si>
  <si>
    <t>Cross-Tabulation of Beneficiaries Using Stationary and Portable Oxygen Equipment excluding Competitive Bidding Areas - July 2017</t>
  </si>
  <si>
    <t>Number of Oxygen Beneficiaries Starting Rental* in July 2017</t>
  </si>
  <si>
    <t>Dates of Service: 07/01/2017 - 07/31/2017</t>
  </si>
  <si>
    <t>Data Received by PDAC through: 02/16/2018</t>
  </si>
  <si>
    <t>Ad Hoc 80002493</t>
  </si>
  <si>
    <t>E0424 w/o QF</t>
  </si>
  <si>
    <t>E0439 w/QF</t>
  </si>
  <si>
    <t>E0439 w/o QF</t>
  </si>
  <si>
    <t>E1390 w/QF</t>
  </si>
  <si>
    <t>E1390 w/o QF</t>
  </si>
  <si>
    <t>Report Run Date: 02/22/2018</t>
  </si>
  <si>
    <t>Competitive Bidding Implementation Contractor (CBIC) data received by PDAC current as of 12/08/2017</t>
  </si>
  <si>
    <t>There was no data meeting the requested criteria for HCPCS code E0433, E1391, E1405, and E1406. Also, there were no data meeting the requested criteria for E0424 w/QF.</t>
  </si>
  <si>
    <t xml:space="preserve"> codes were excluded (e.g., E0424 and E1390, or E0431 and E1392). These excluded beneficiaries made up approximately 0.01% of July beneficiaries.</t>
  </si>
  <si>
    <t xml:space="preserve">CONFIDENTIALITY NOTICE: This document may contain confidential and privileged information or may otherwise be protected by law. </t>
  </si>
  <si>
    <t>It is intended for use by CMS and Medicare contractors as approved per the PDAC contract administered by Noridian Healthcare Solutions.</t>
  </si>
  <si>
    <t>E0424 w/QF</t>
  </si>
  <si>
    <t>SE only</t>
  </si>
  <si>
    <t>SE + portable gas</t>
  </si>
  <si>
    <t>SE only + high flow (&gt; 4 liters per minute)</t>
  </si>
  <si>
    <t>SE + high flow + portable gas¹</t>
  </si>
  <si>
    <t>SE + portable liquid</t>
  </si>
  <si>
    <t>SE + high flow + portable liquid¹</t>
  </si>
  <si>
    <t>SE + OGPE</t>
  </si>
  <si>
    <t>SE + high flow + OGPE¹</t>
  </si>
  <si>
    <t>Stationary contents after cap</t>
  </si>
  <si>
    <t>Portable gaseous contents after cap</t>
  </si>
  <si>
    <t>Portable liquid contents after cap</t>
  </si>
  <si>
    <t>Portable liquid high flow contents after cap</t>
  </si>
  <si>
    <t>¹ statute only allows payment for higher of high flow add-on or portable equipment add-on</t>
  </si>
  <si>
    <t>transfill only</t>
  </si>
  <si>
    <t>portable gas or liquid only</t>
  </si>
  <si>
    <t>Step 3:  Calculate budget neutral rates for the year and compare and input budget neutrality factor to match step 1 total to step 3 total</t>
  </si>
  <si>
    <t>footnote 1 - pay higher of high flow add-on or portable equipment</t>
  </si>
  <si>
    <t>area</t>
  </si>
  <si>
    <t>offset</t>
  </si>
  <si>
    <t>BN factor</t>
  </si>
  <si>
    <t>region1</t>
  </si>
  <si>
    <t>region2</t>
  </si>
  <si>
    <t>region3</t>
  </si>
  <si>
    <t>region4</t>
  </si>
  <si>
    <t>region5</t>
  </si>
  <si>
    <t>region6</t>
  </si>
  <si>
    <t>region7</t>
  </si>
  <si>
    <t>region8</t>
  </si>
  <si>
    <t>non-contig</t>
  </si>
  <si>
    <t>OGPE&amp;transfill only</t>
  </si>
  <si>
    <t>rural fee</t>
  </si>
  <si>
    <t>urban fee</t>
  </si>
  <si>
    <t>cpi-u</t>
  </si>
  <si>
    <t>input price</t>
  </si>
  <si>
    <t>CT</t>
  </si>
  <si>
    <t>DC</t>
  </si>
  <si>
    <t>IL</t>
  </si>
  <si>
    <t>IA</t>
  </si>
  <si>
    <t>AL</t>
  </si>
  <si>
    <t>AZ</t>
  </si>
  <si>
    <t>CO</t>
  </si>
  <si>
    <t>CA</t>
  </si>
  <si>
    <t>HCPCS/mods</t>
  </si>
  <si>
    <t>Column1</t>
  </si>
  <si>
    <t>state</t>
  </si>
  <si>
    <t>2018 unadjusted fee</t>
  </si>
  <si>
    <t>E0431RR</t>
  </si>
  <si>
    <t>E1390RR</t>
  </si>
  <si>
    <t>E1392RR</t>
  </si>
  <si>
    <t>input unadjusted fee for E1390 w/o offset=</t>
  </si>
  <si>
    <t>HI</t>
  </si>
  <si>
    <t>non-contiguous table of values before applying greater of rural or SPA rule</t>
  </si>
  <si>
    <t>input prices</t>
  </si>
  <si>
    <t>Tab "input prices"</t>
  </si>
  <si>
    <t>region</t>
  </si>
  <si>
    <t>cell E1 is equal to the 2006 unadjusted E1390 fee reduced by 9.5% per MIPPA and increased by the cumulative covered item update from 2011 to 2018 of 7.1%</t>
  </si>
  <si>
    <t>the column of "2018 unadjusted fees" is from G:\CCPG\DDP\Fee Adjustment - Jan 2018\Fee 2018 DMEPOS adjusted.xlsx  with the exception of E1390RR which is from cell E1</t>
  </si>
  <si>
    <t>The column of "rural fee" is from G:\CCPG\DDP\Fee Adjustment - Jan 2018\Transmission of DMEPOS Jan 2018 (intermediate step).xlsx tab "Combined" with the exception of "non-contig" rows that are zero</t>
  </si>
  <si>
    <t xml:space="preserve">The column of "urban fee" is from G:\CCPG\DDP\Fee Adjustment - Jan 2018\Transmission of DMEPOS Jan 2018 (intermediate step).xlsx tab "Combined" with the exception of "non-contig" rows that are greater of SPA and ceiling </t>
  </si>
  <si>
    <t>Tab “cross tab July 2017” is the PDAC’s cross tabulation of combinations of oxygen equipment.</t>
  </si>
  <si>
    <t xml:space="preserve">This budget neutrality worksheet has been modified from earlier versions and provides inputs to G:\CCPG\DDP\Fee Adjustment – Jan 2019/RSPA respiratory  BN– Jan 2019.xlsx.   </t>
  </si>
  <si>
    <t>The next nine tabs vary only by the "input prices" from the above tab.</t>
  </si>
  <si>
    <t xml:space="preserve">   the fact that about 50% of payment is at the blended fee and 50% is at the urban fee.</t>
  </si>
  <si>
    <t xml:space="preserve">    the rural value of E1390 is the 110% state-weighted average of the RSPAs without offset from the "adjRSPA" tab of G:\CCPG\DDP\Fee Adjustment - Jan 2019\RSPA respiratory BN - Jan 2019.xlsx</t>
  </si>
  <si>
    <t xml:space="preserve">    the urban value of E1390 is the RSPA without offset from the "adjRSPA" tab of G:\CCPG\DDP\Fee Adjustment - Jan 2019\RSPA respiratory BN - Jan 2019.xlsx</t>
  </si>
  <si>
    <t>The column of "input price" is .25*unadjusted*2019 covered item update+.25*rural+.5*urban fee with the exception of "non-contig" which is .5*unadjusted*2019 covered item update+.5*urban fee.  Basically, these formulas use</t>
  </si>
  <si>
    <t>update</t>
  </si>
  <si>
    <t>the column "update" is the 2019 covered item update =the CPI-U value June 2018/June 2017 less multi-factor productivity (1.029/1.006)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</si>
</sst>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quot;#,##0.00_);\(&quot;$&quot;#,##0.0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
    <numFmt numFmtId="167" formatCode="#,##0.0000_);\(#,##0.0000\)"/>
    <numFmt numFmtId="168" formatCode="&quot;$&quot;#,##0.00"/>
    <numFmt numFmtId="169" formatCode="#,##0.000"/>
  </numFmts>
  <fonts count="35" x14ac:knownFonts="1">
    <font>
      <sz val="10"/>
      <name val="Arial"/>
    </font>
    <font>
      <sz val="10"/>
      <name val="Arial"/>
      <family val="2"/>
    </font>
    <font>
      <u/>
      <sz val="10"/>
      <name val="Arial"/>
      <family val="2"/>
    </font>
    <font>
      <b/>
      <sz val="10"/>
      <name val="Arial"/>
      <family val="2"/>
    </font>
    <font>
      <sz val="10"/>
      <color indexed="12"/>
      <name val="Arial"/>
      <family val="2"/>
    </font>
    <font>
      <b/>
      <sz val="8"/>
      <color indexed="81"/>
      <name val="Tahoma"/>
      <family val="2"/>
    </font>
    <font>
      <sz val="10"/>
      <name val="Arial"/>
      <family val="2"/>
    </font>
    <font>
      <b/>
      <sz val="10"/>
      <name val="Arial"/>
      <family val="2"/>
    </font>
    <font>
      <sz val="18"/>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11"/>
      <name val="Calibri"/>
      <family val="2"/>
    </font>
    <font>
      <sz val="10"/>
      <color rgb="FF000000"/>
      <name val="Arial"/>
      <family val="2"/>
    </font>
    <font>
      <b/>
      <sz val="10"/>
      <color rgb="FF000000"/>
      <name val="Arial"/>
      <family val="2"/>
    </font>
    <font>
      <u/>
      <sz val="10"/>
      <color theme="10"/>
      <name val="Arial"/>
      <family val="2"/>
    </font>
    <font>
      <sz val="8"/>
      <name val="Arial"/>
      <family val="2"/>
    </font>
    <font>
      <b/>
      <sz val="10"/>
      <color rgb="FF000000"/>
      <name val="Arial"/>
      <family val="2"/>
    </font>
    <font>
      <sz val="10"/>
      <color theme="1"/>
      <name val="Arial"/>
      <family val="2"/>
    </font>
    <font>
      <b/>
      <sz val="10"/>
      <color theme="0"/>
      <name val="Arial"/>
      <family val="2"/>
    </font>
  </fonts>
  <fills count="49">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bgColor theme="4"/>
      </patternFill>
    </fill>
    <fill>
      <patternFill patternType="solid">
        <fgColor theme="4" tint="0.79998168889431442"/>
        <bgColor theme="4" tint="0.79998168889431442"/>
      </patternFill>
    </fill>
  </fills>
  <borders count="30">
    <border>
      <left/>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s>
  <cellStyleXfs count="49">
    <xf numFmtId="0" fontId="0"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2" fillId="27" borderId="0" applyNumberFormat="0" applyBorder="0" applyAlignment="0" applyProtection="0"/>
    <xf numFmtId="0" fontId="13" fillId="28" borderId="8" applyNumberFormat="0" applyAlignment="0" applyProtection="0"/>
    <xf numFmtId="0" fontId="14" fillId="29" borderId="9"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xf numFmtId="0" fontId="16" fillId="30" borderId="0" applyNumberFormat="0" applyBorder="0" applyAlignment="0" applyProtection="0"/>
    <xf numFmtId="0" fontId="17" fillId="0" borderId="10" applyNumberFormat="0" applyFill="0" applyAlignment="0" applyProtection="0"/>
    <xf numFmtId="0" fontId="18" fillId="0" borderId="11" applyNumberFormat="0" applyFill="0" applyAlignment="0" applyProtection="0"/>
    <xf numFmtId="0" fontId="19" fillId="0" borderId="12" applyNumberFormat="0" applyFill="0" applyAlignment="0" applyProtection="0"/>
    <xf numFmtId="0" fontId="19" fillId="0" borderId="0" applyNumberFormat="0" applyFill="0" applyBorder="0" applyAlignment="0" applyProtection="0"/>
    <xf numFmtId="0" fontId="20" fillId="31" borderId="8" applyNumberFormat="0" applyAlignment="0" applyProtection="0"/>
    <xf numFmtId="0" fontId="21" fillId="0" borderId="13" applyNumberFormat="0" applyFill="0" applyAlignment="0" applyProtection="0"/>
    <xf numFmtId="0" fontId="22" fillId="32" borderId="0" applyNumberFormat="0" applyBorder="0" applyAlignment="0" applyProtection="0"/>
    <xf numFmtId="0" fontId="10" fillId="0" borderId="0"/>
    <xf numFmtId="0" fontId="10" fillId="33" borderId="14" applyNumberFormat="0" applyFont="0" applyAlignment="0" applyProtection="0"/>
    <xf numFmtId="0" fontId="23" fillId="28" borderId="15" applyNumberFormat="0" applyAlignment="0" applyProtection="0"/>
    <xf numFmtId="9" fontId="1" fillId="0" borderId="0" applyFont="0" applyFill="0" applyBorder="0" applyAlignment="0" applyProtection="0"/>
    <xf numFmtId="9" fontId="10" fillId="0" borderId="0" applyFont="0" applyFill="0" applyBorder="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0" borderId="0" applyNumberFormat="0" applyFill="0" applyBorder="0" applyAlignment="0" applyProtection="0"/>
    <xf numFmtId="0" fontId="28" fillId="0" borderId="0"/>
    <xf numFmtId="0" fontId="30" fillId="0" borderId="0" applyNumberFormat="0" applyFill="0" applyBorder="0" applyAlignment="0" applyProtection="0"/>
  </cellStyleXfs>
  <cellXfs count="143">
    <xf numFmtId="0" fontId="0" fillId="0" borderId="0" xfId="0"/>
    <xf numFmtId="0" fontId="2" fillId="0" borderId="0" xfId="0" applyFont="1"/>
    <xf numFmtId="0" fontId="2" fillId="0" borderId="0" xfId="0" applyFont="1" applyAlignment="1">
      <alignment horizontal="center"/>
    </xf>
    <xf numFmtId="0" fontId="3" fillId="0" borderId="0" xfId="0" applyFont="1"/>
    <xf numFmtId="164" fontId="0" fillId="0" borderId="0" xfId="0" applyNumberFormat="1"/>
    <xf numFmtId="165" fontId="0" fillId="0" borderId="0" xfId="0" applyNumberFormat="1"/>
    <xf numFmtId="9" fontId="4" fillId="0" borderId="0" xfId="42" applyFont="1"/>
    <xf numFmtId="164" fontId="1" fillId="0" borderId="0" xfId="29" applyNumberFormat="1"/>
    <xf numFmtId="165" fontId="1" fillId="0" borderId="0" xfId="28" applyNumberFormat="1"/>
    <xf numFmtId="0" fontId="0" fillId="0" borderId="0" xfId="0" applyAlignment="1">
      <alignment horizontal="centerContinuous"/>
    </xf>
    <xf numFmtId="0" fontId="0" fillId="0" borderId="0" xfId="0" applyAlignment="1">
      <alignment horizontal="left"/>
    </xf>
    <xf numFmtId="0" fontId="0" fillId="0" borderId="0" xfId="0" applyBorder="1"/>
    <xf numFmtId="166" fontId="0" fillId="0" borderId="0" xfId="0" applyNumberFormat="1"/>
    <xf numFmtId="10" fontId="0" fillId="0" borderId="0" xfId="0" applyNumberFormat="1"/>
    <xf numFmtId="4" fontId="4" fillId="0" borderId="0" xfId="29" applyNumberFormat="1" applyFont="1"/>
    <xf numFmtId="4" fontId="0" fillId="0" borderId="0" xfId="0" applyNumberFormat="1"/>
    <xf numFmtId="4" fontId="2" fillId="0" borderId="0" xfId="0" applyNumberFormat="1" applyFont="1" applyAlignment="1">
      <alignment horizontal="center"/>
    </xf>
    <xf numFmtId="4" fontId="6" fillId="0" borderId="0" xfId="29" applyNumberFormat="1" applyFont="1"/>
    <xf numFmtId="0" fontId="0" fillId="0" borderId="0" xfId="0" applyAlignment="1">
      <alignment horizontal="justify" vertical="distributed"/>
    </xf>
    <xf numFmtId="0" fontId="0" fillId="0" borderId="0" xfId="0" applyAlignment="1">
      <alignment horizontal="center" vertical="justify" wrapText="1"/>
    </xf>
    <xf numFmtId="2" fontId="0" fillId="0" borderId="0" xfId="0" applyNumberFormat="1"/>
    <xf numFmtId="2" fontId="0" fillId="0" borderId="0" xfId="0" applyNumberFormat="1" applyBorder="1"/>
    <xf numFmtId="0" fontId="7" fillId="0" borderId="0" xfId="0" applyFont="1" applyAlignment="1">
      <alignment horizontal="centerContinuous" vertical="justify"/>
    </xf>
    <xf numFmtId="0" fontId="7" fillId="0" borderId="0" xfId="0" applyFont="1"/>
    <xf numFmtId="10" fontId="1" fillId="0" borderId="0" xfId="29" applyNumberFormat="1" applyBorder="1"/>
    <xf numFmtId="167" fontId="0" fillId="0" borderId="0" xfId="0" applyNumberFormat="1"/>
    <xf numFmtId="0" fontId="0" fillId="0" borderId="0" xfId="0" applyBorder="1" applyAlignment="1">
      <alignment horizontal="center"/>
    </xf>
    <xf numFmtId="0" fontId="2" fillId="0" borderId="0" xfId="0" applyFont="1" applyBorder="1" applyAlignment="1">
      <alignment horizontal="center"/>
    </xf>
    <xf numFmtId="4" fontId="1" fillId="0" borderId="0" xfId="29" applyNumberFormat="1" applyBorder="1"/>
    <xf numFmtId="0" fontId="2" fillId="0" borderId="0" xfId="0" applyFont="1" applyAlignment="1">
      <alignment wrapText="1"/>
    </xf>
    <xf numFmtId="3" fontId="0" fillId="2" borderId="0" xfId="0" applyNumberFormat="1" applyFont="1" applyFill="1" applyBorder="1" applyAlignment="1" applyProtection="1"/>
    <xf numFmtId="0" fontId="0" fillId="2" borderId="4" xfId="0" applyNumberFormat="1" applyFont="1" applyFill="1" applyBorder="1" applyAlignment="1" applyProtection="1"/>
    <xf numFmtId="3" fontId="0" fillId="2" borderId="5" xfId="0" applyNumberFormat="1" applyFont="1" applyFill="1" applyBorder="1" applyAlignment="1" applyProtection="1"/>
    <xf numFmtId="0" fontId="0" fillId="2" borderId="5" xfId="0" applyNumberFormat="1" applyFont="1" applyFill="1" applyBorder="1" applyAlignment="1" applyProtection="1"/>
    <xf numFmtId="0" fontId="0" fillId="2" borderId="6" xfId="0" applyNumberFormat="1" applyFont="1" applyFill="1" applyBorder="1" applyAlignment="1" applyProtection="1"/>
    <xf numFmtId="0" fontId="0" fillId="2" borderId="7" xfId="0" applyNumberFormat="1" applyFill="1" applyBorder="1" applyAlignment="1" applyProtection="1"/>
    <xf numFmtId="0" fontId="0" fillId="2" borderId="0" xfId="0" applyNumberFormat="1" applyFont="1" applyFill="1" applyBorder="1" applyAlignment="1" applyProtection="1"/>
    <xf numFmtId="0" fontId="9" fillId="34" borderId="0" xfId="0" applyNumberFormat="1" applyFont="1" applyFill="1" applyBorder="1" applyAlignment="1" applyProtection="1"/>
    <xf numFmtId="0" fontId="1" fillId="0" borderId="0" xfId="0" applyFont="1"/>
    <xf numFmtId="0" fontId="0" fillId="35" borderId="1" xfId="0" applyFill="1" applyBorder="1" applyAlignment="1">
      <alignment horizontal="centerContinuous"/>
    </xf>
    <xf numFmtId="0" fontId="0" fillId="35" borderId="2" xfId="0" applyFill="1" applyBorder="1" applyAlignment="1">
      <alignment horizontal="centerContinuous"/>
    </xf>
    <xf numFmtId="0" fontId="3" fillId="0" borderId="0" xfId="0" applyFont="1" applyAlignment="1">
      <alignment horizontal="centerContinuous" vertical="justify"/>
    </xf>
    <xf numFmtId="0" fontId="3" fillId="0" borderId="0" xfId="0" applyFont="1" applyAlignment="1">
      <alignment horizontal="left" vertical="justify"/>
    </xf>
    <xf numFmtId="0" fontId="7" fillId="0" borderId="0" xfId="0" applyFont="1" applyAlignment="1">
      <alignment horizontal="left" vertical="justify"/>
    </xf>
    <xf numFmtId="0" fontId="0" fillId="0" borderId="0" xfId="0" applyAlignment="1">
      <alignment horizontal="center" vertical="justify"/>
    </xf>
    <xf numFmtId="0" fontId="27" fillId="0" borderId="0" xfId="0" applyFont="1" applyAlignment="1">
      <alignment vertical="center"/>
    </xf>
    <xf numFmtId="0" fontId="3" fillId="35" borderId="0" xfId="0" applyFont="1" applyFill="1" applyAlignment="1">
      <alignment vertical="justify"/>
    </xf>
    <xf numFmtId="166" fontId="0" fillId="2" borderId="0" xfId="0" applyNumberFormat="1" applyFont="1" applyFill="1" applyBorder="1" applyAlignment="1" applyProtection="1"/>
    <xf numFmtId="2" fontId="0" fillId="35" borderId="0" xfId="0" applyNumberFormat="1" applyFill="1"/>
    <xf numFmtId="3" fontId="0" fillId="36" borderId="0" xfId="0" applyNumberFormat="1" applyFont="1" applyFill="1" applyBorder="1" applyAlignment="1" applyProtection="1"/>
    <xf numFmtId="2" fontId="6" fillId="0" borderId="0" xfId="29" applyNumberFormat="1" applyFont="1"/>
    <xf numFmtId="10" fontId="1" fillId="35" borderId="3" xfId="0" applyNumberFormat="1" applyFont="1" applyFill="1" applyBorder="1"/>
    <xf numFmtId="0" fontId="1" fillId="2" borderId="7" xfId="0" applyNumberFormat="1" applyFont="1" applyFill="1" applyBorder="1" applyAlignment="1" applyProtection="1"/>
    <xf numFmtId="0" fontId="0" fillId="0" borderId="18" xfId="0" applyBorder="1" applyAlignment="1">
      <alignment horizontal="center" vertical="justify" wrapText="1"/>
    </xf>
    <xf numFmtId="0" fontId="0" fillId="0" borderId="4" xfId="0" applyBorder="1" applyAlignment="1">
      <alignment horizontal="center" vertical="justify" wrapText="1"/>
    </xf>
    <xf numFmtId="7" fontId="6" fillId="0" borderId="0" xfId="29" applyNumberFormat="1" applyFont="1"/>
    <xf numFmtId="0" fontId="1" fillId="0" borderId="0" xfId="0" applyFont="1" applyAlignment="1">
      <alignment horizontal="center"/>
    </xf>
    <xf numFmtId="0" fontId="0" fillId="0" borderId="0" xfId="0" applyAlignment="1">
      <alignment horizontal="center"/>
    </xf>
    <xf numFmtId="0" fontId="0" fillId="34" borderId="0" xfId="0" applyFont="1" applyFill="1" applyBorder="1" applyAlignment="1">
      <alignment horizontal="left"/>
    </xf>
    <xf numFmtId="0" fontId="29" fillId="34" borderId="17" xfId="0" applyFont="1" applyFill="1" applyBorder="1" applyAlignment="1">
      <alignment horizontal="left"/>
    </xf>
    <xf numFmtId="0" fontId="29" fillId="34" borderId="17" xfId="0" applyFont="1" applyFill="1" applyBorder="1" applyAlignment="1">
      <alignment horizontal="left" wrapText="1"/>
    </xf>
    <xf numFmtId="0" fontId="0" fillId="34" borderId="17" xfId="0" applyFont="1" applyFill="1" applyBorder="1" applyAlignment="1">
      <alignment horizontal="left"/>
    </xf>
    <xf numFmtId="3" fontId="0" fillId="34" borderId="17" xfId="0" applyNumberFormat="1" applyFont="1" applyFill="1" applyBorder="1" applyAlignment="1">
      <alignment horizontal="right"/>
    </xf>
    <xf numFmtId="3" fontId="30" fillId="34" borderId="0" xfId="48" applyNumberFormat="1" applyFill="1" applyBorder="1" applyAlignment="1">
      <alignment horizontal="left"/>
    </xf>
    <xf numFmtId="0" fontId="0" fillId="34" borderId="0" xfId="0" applyFont="1" applyFill="1" applyBorder="1" applyAlignment="1">
      <alignment horizontal="left" wrapText="1"/>
    </xf>
    <xf numFmtId="8" fontId="0" fillId="2" borderId="0" xfId="0" applyNumberFormat="1" applyFont="1" applyFill="1" applyBorder="1" applyAlignment="1" applyProtection="1"/>
    <xf numFmtId="0" fontId="31" fillId="2" borderId="0" xfId="0" applyNumberFormat="1" applyFont="1" applyFill="1" applyBorder="1" applyAlignment="1" applyProtection="1"/>
    <xf numFmtId="0" fontId="0" fillId="34" borderId="0" xfId="0" applyFont="1" applyFill="1" applyBorder="1" applyAlignment="1">
      <alignment horizontal="left"/>
    </xf>
    <xf numFmtId="0" fontId="32" fillId="34" borderId="17" xfId="0" applyFont="1" applyFill="1" applyBorder="1" applyAlignment="1">
      <alignment horizontal="left"/>
    </xf>
    <xf numFmtId="0" fontId="32" fillId="34" borderId="17" xfId="0" applyFont="1" applyFill="1" applyBorder="1" applyAlignment="1">
      <alignment horizontal="left" wrapText="1"/>
    </xf>
    <xf numFmtId="0" fontId="32" fillId="34" borderId="22" xfId="0" applyFont="1" applyFill="1" applyBorder="1" applyAlignment="1">
      <alignment horizontal="left"/>
    </xf>
    <xf numFmtId="0" fontId="0" fillId="37" borderId="17" xfId="0" applyFill="1" applyBorder="1"/>
    <xf numFmtId="0" fontId="0" fillId="38" borderId="17" xfId="0" applyFill="1" applyBorder="1"/>
    <xf numFmtId="0" fontId="0" fillId="39" borderId="17" xfId="0" applyFill="1" applyBorder="1"/>
    <xf numFmtId="0" fontId="0" fillId="40" borderId="17" xfId="0" applyFill="1" applyBorder="1"/>
    <xf numFmtId="3" fontId="0" fillId="41" borderId="23" xfId="0" applyNumberFormat="1" applyFont="1" applyFill="1" applyBorder="1" applyAlignment="1">
      <alignment horizontal="right"/>
    </xf>
    <xf numFmtId="0" fontId="0" fillId="42" borderId="17" xfId="0" applyFill="1" applyBorder="1"/>
    <xf numFmtId="3" fontId="0" fillId="43" borderId="23" xfId="0" applyNumberFormat="1" applyFont="1" applyFill="1" applyBorder="1" applyAlignment="1">
      <alignment horizontal="right"/>
    </xf>
    <xf numFmtId="3" fontId="0" fillId="42" borderId="23" xfId="0" applyNumberFormat="1" applyFont="1" applyFill="1" applyBorder="1" applyAlignment="1">
      <alignment horizontal="right"/>
    </xf>
    <xf numFmtId="3" fontId="0" fillId="44" borderId="23" xfId="0" applyNumberFormat="1" applyFont="1" applyFill="1" applyBorder="1" applyAlignment="1">
      <alignment horizontal="right"/>
    </xf>
    <xf numFmtId="3" fontId="0" fillId="37" borderId="17" xfId="0" applyNumberFormat="1" applyFont="1" applyFill="1" applyBorder="1" applyAlignment="1">
      <alignment horizontal="right"/>
    </xf>
    <xf numFmtId="3" fontId="0" fillId="39" borderId="17" xfId="0" applyNumberFormat="1" applyFont="1" applyFill="1" applyBorder="1" applyAlignment="1">
      <alignment horizontal="right"/>
    </xf>
    <xf numFmtId="3" fontId="0" fillId="38" borderId="17" xfId="0" applyNumberFormat="1" applyFont="1" applyFill="1" applyBorder="1" applyAlignment="1">
      <alignment horizontal="right"/>
    </xf>
    <xf numFmtId="3" fontId="0" fillId="40" borderId="17" xfId="0" applyNumberFormat="1" applyFont="1" applyFill="1" applyBorder="1" applyAlignment="1">
      <alignment horizontal="right"/>
    </xf>
    <xf numFmtId="3" fontId="0" fillId="41" borderId="17" xfId="0" applyNumberFormat="1" applyFont="1" applyFill="1" applyBorder="1" applyAlignment="1">
      <alignment horizontal="right"/>
    </xf>
    <xf numFmtId="3" fontId="0" fillId="43" borderId="17" xfId="0" applyNumberFormat="1" applyFont="1" applyFill="1" applyBorder="1" applyAlignment="1">
      <alignment horizontal="right"/>
    </xf>
    <xf numFmtId="3" fontId="0" fillId="42" borderId="17" xfId="0" applyNumberFormat="1" applyFont="1" applyFill="1" applyBorder="1" applyAlignment="1">
      <alignment horizontal="right"/>
    </xf>
    <xf numFmtId="3" fontId="0" fillId="44" borderId="17" xfId="0" applyNumberFormat="1" applyFont="1" applyFill="1" applyBorder="1" applyAlignment="1">
      <alignment horizontal="right"/>
    </xf>
    <xf numFmtId="3" fontId="0" fillId="45" borderId="17" xfId="0" applyNumberFormat="1" applyFont="1" applyFill="1" applyBorder="1" applyAlignment="1">
      <alignment horizontal="right"/>
    </xf>
    <xf numFmtId="0" fontId="0" fillId="46" borderId="17" xfId="0" applyFill="1" applyBorder="1"/>
    <xf numFmtId="3" fontId="0" fillId="46" borderId="17" xfId="0" applyNumberFormat="1" applyFont="1" applyFill="1" applyBorder="1" applyAlignment="1">
      <alignment horizontal="right"/>
    </xf>
    <xf numFmtId="0" fontId="0" fillId="2" borderId="17" xfId="0" applyNumberFormat="1" applyFill="1" applyBorder="1" applyAlignment="1" applyProtection="1"/>
    <xf numFmtId="8" fontId="0" fillId="2" borderId="17" xfId="0" applyNumberFormat="1" applyFont="1" applyFill="1" applyBorder="1" applyAlignment="1" applyProtection="1"/>
    <xf numFmtId="0" fontId="0" fillId="2" borderId="17" xfId="0" applyNumberFormat="1" applyFont="1" applyFill="1" applyBorder="1" applyAlignment="1" applyProtection="1"/>
    <xf numFmtId="3" fontId="0" fillId="44" borderId="17" xfId="0" applyNumberFormat="1" applyFont="1" applyFill="1" applyBorder="1" applyAlignment="1" applyProtection="1"/>
    <xf numFmtId="166" fontId="0" fillId="2" borderId="17" xfId="0" applyNumberFormat="1" applyFont="1" applyFill="1" applyBorder="1" applyAlignment="1" applyProtection="1"/>
    <xf numFmtId="0" fontId="1" fillId="2" borderId="17" xfId="0" applyNumberFormat="1" applyFont="1" applyFill="1" applyBorder="1" applyAlignment="1" applyProtection="1"/>
    <xf numFmtId="3" fontId="0" fillId="40" borderId="17" xfId="0" applyNumberFormat="1" applyFont="1" applyFill="1" applyBorder="1" applyAlignment="1" applyProtection="1"/>
    <xf numFmtId="3" fontId="0" fillId="41" borderId="17" xfId="0" applyNumberFormat="1" applyFont="1" applyFill="1" applyBorder="1" applyAlignment="1" applyProtection="1"/>
    <xf numFmtId="3" fontId="0" fillId="37" borderId="17" xfId="0" applyNumberFormat="1" applyFont="1" applyFill="1" applyBorder="1" applyAlignment="1" applyProtection="1"/>
    <xf numFmtId="3" fontId="0" fillId="43" borderId="17" xfId="0" applyNumberFormat="1" applyFont="1" applyFill="1" applyBorder="1" applyAlignment="1" applyProtection="1"/>
    <xf numFmtId="3" fontId="0" fillId="39" borderId="17" xfId="0" applyNumberFormat="1" applyFont="1" applyFill="1" applyBorder="1" applyAlignment="1" applyProtection="1"/>
    <xf numFmtId="3" fontId="0" fillId="42" borderId="17" xfId="0" applyNumberFormat="1" applyFont="1" applyFill="1" applyBorder="1" applyAlignment="1" applyProtection="1"/>
    <xf numFmtId="3" fontId="0" fillId="38" borderId="17" xfId="0" applyNumberFormat="1" applyFont="1" applyFill="1" applyBorder="1" applyAlignment="1" applyProtection="1"/>
    <xf numFmtId="3" fontId="0" fillId="45" borderId="17" xfId="0" applyNumberFormat="1" applyFont="1" applyFill="1" applyBorder="1" applyAlignment="1" applyProtection="1"/>
    <xf numFmtId="3" fontId="0" fillId="46" borderId="17" xfId="0" applyNumberFormat="1" applyFont="1" applyFill="1" applyBorder="1" applyAlignment="1" applyProtection="1"/>
    <xf numFmtId="168" fontId="0" fillId="0" borderId="0" xfId="0" applyNumberFormat="1"/>
    <xf numFmtId="168" fontId="34" fillId="47" borderId="24" xfId="0" applyNumberFormat="1" applyFont="1" applyFill="1" applyBorder="1"/>
    <xf numFmtId="168" fontId="34" fillId="47" borderId="25" xfId="0" applyNumberFormat="1" applyFont="1" applyFill="1" applyBorder="1"/>
    <xf numFmtId="168" fontId="33" fillId="48" borderId="24" xfId="0" applyNumberFormat="1" applyFont="1" applyFill="1" applyBorder="1"/>
    <xf numFmtId="168" fontId="33" fillId="48" borderId="25" xfId="0" applyNumberFormat="1" applyFont="1" applyFill="1" applyBorder="1"/>
    <xf numFmtId="168" fontId="33" fillId="0" borderId="24" xfId="0" applyNumberFormat="1" applyFont="1" applyBorder="1"/>
    <xf numFmtId="168" fontId="33" fillId="0" borderId="25" xfId="0" applyNumberFormat="1" applyFont="1" applyBorder="1"/>
    <xf numFmtId="168" fontId="33" fillId="0" borderId="26" xfId="0" applyNumberFormat="1" applyFont="1" applyBorder="1"/>
    <xf numFmtId="168" fontId="33" fillId="48" borderId="26" xfId="0" applyNumberFormat="1" applyFont="1" applyFill="1" applyBorder="1"/>
    <xf numFmtId="168" fontId="34" fillId="47" borderId="26" xfId="0" applyNumberFormat="1" applyFont="1" applyFill="1" applyBorder="1"/>
    <xf numFmtId="168" fontId="33" fillId="48" borderId="17" xfId="0" applyNumberFormat="1" applyFont="1" applyFill="1" applyBorder="1"/>
    <xf numFmtId="169" fontId="33" fillId="48" borderId="25" xfId="0" applyNumberFormat="1" applyFont="1" applyFill="1" applyBorder="1"/>
    <xf numFmtId="169" fontId="33" fillId="0" borderId="25" xfId="0" applyNumberFormat="1" applyFont="1" applyBorder="1"/>
    <xf numFmtId="168" fontId="34" fillId="47" borderId="27" xfId="0" applyNumberFormat="1" applyFont="1" applyFill="1" applyBorder="1"/>
    <xf numFmtId="168" fontId="34" fillId="47" borderId="28" xfId="0" applyNumberFormat="1" applyFont="1" applyFill="1" applyBorder="1"/>
    <xf numFmtId="168" fontId="34" fillId="47" borderId="29" xfId="0" applyNumberFormat="1" applyFont="1" applyFill="1" applyBorder="1"/>
    <xf numFmtId="168" fontId="33" fillId="48" borderId="27" xfId="0" applyNumberFormat="1" applyFont="1" applyFill="1" applyBorder="1"/>
    <xf numFmtId="168" fontId="33" fillId="48" borderId="28" xfId="0" applyNumberFormat="1" applyFont="1" applyFill="1" applyBorder="1"/>
    <xf numFmtId="169" fontId="33" fillId="48" borderId="28" xfId="0" applyNumberFormat="1" applyFont="1" applyFill="1" applyBorder="1"/>
    <xf numFmtId="168" fontId="33" fillId="48" borderId="22" xfId="0" applyNumberFormat="1" applyFont="1" applyFill="1" applyBorder="1"/>
    <xf numFmtId="168" fontId="33" fillId="0" borderId="27" xfId="0" applyNumberFormat="1" applyFont="1" applyBorder="1"/>
    <xf numFmtId="168" fontId="33" fillId="0" borderId="28" xfId="0" applyNumberFormat="1" applyFont="1" applyBorder="1"/>
    <xf numFmtId="168" fontId="33" fillId="48" borderId="29" xfId="0" applyNumberFormat="1" applyFont="1" applyFill="1" applyBorder="1"/>
    <xf numFmtId="0" fontId="0" fillId="34" borderId="0" xfId="0" applyFont="1" applyFill="1" applyBorder="1" applyAlignment="1">
      <alignment horizontal="left" wrapText="1"/>
    </xf>
    <xf numFmtId="0" fontId="0" fillId="34" borderId="0" xfId="0" applyFont="1" applyFill="1" applyBorder="1" applyAlignment="1">
      <alignment horizontal="left"/>
    </xf>
    <xf numFmtId="0" fontId="29" fillId="34" borderId="0" xfId="0" applyFont="1" applyFill="1" applyBorder="1" applyAlignment="1">
      <alignment horizontal="left" wrapText="1"/>
    </xf>
    <xf numFmtId="0" fontId="29" fillId="34" borderId="17" xfId="0" applyFont="1" applyFill="1" applyBorder="1" applyAlignment="1">
      <alignment horizontal="left"/>
    </xf>
    <xf numFmtId="0" fontId="9" fillId="34" borderId="0" xfId="0" applyNumberFormat="1" applyFont="1" applyFill="1" applyBorder="1" applyAlignment="1" applyProtection="1">
      <alignment horizontal="left" wrapText="1"/>
    </xf>
    <xf numFmtId="0" fontId="32" fillId="34" borderId="17" xfId="0" applyFont="1" applyFill="1" applyBorder="1" applyAlignment="1">
      <alignment horizontal="left"/>
    </xf>
    <xf numFmtId="0" fontId="8" fillId="0" borderId="0" xfId="0" applyFont="1" applyAlignment="1">
      <alignment horizontal="center" vertical="center" wrapText="1"/>
    </xf>
    <xf numFmtId="0" fontId="0" fillId="0" borderId="19" xfId="0" applyBorder="1" applyAlignment="1">
      <alignment horizontal="center" vertical="justify" wrapText="1"/>
    </xf>
    <xf numFmtId="0" fontId="0" fillId="0" borderId="20" xfId="0" applyBorder="1" applyAlignment="1">
      <alignment horizontal="center" vertical="justify" wrapText="1"/>
    </xf>
    <xf numFmtId="0" fontId="0" fillId="0" borderId="21" xfId="0" applyBorder="1" applyAlignment="1">
      <alignment horizontal="center" vertical="justify" wrapText="1"/>
    </xf>
    <xf numFmtId="0" fontId="0" fillId="0" borderId="7" xfId="0" applyBorder="1" applyAlignment="1">
      <alignment horizontal="center" vertical="justify" wrapText="1"/>
    </xf>
    <xf numFmtId="0" fontId="0" fillId="0" borderId="0" xfId="0" applyBorder="1" applyAlignment="1">
      <alignment horizontal="center" vertical="justify" wrapText="1"/>
    </xf>
    <xf numFmtId="0" fontId="0" fillId="0" borderId="6" xfId="0" applyBorder="1" applyAlignment="1">
      <alignment horizontal="center" vertical="justify" wrapText="1"/>
    </xf>
    <xf numFmtId="0" fontId="0" fillId="0" borderId="5" xfId="0" applyBorder="1" applyAlignment="1">
      <alignment horizontal="center" vertical="justify"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48" builtinId="8"/>
    <cellStyle name="Input" xfId="36" builtinId="20" customBuiltin="1"/>
    <cellStyle name="Linked Cell" xfId="37" builtinId="24" customBuiltin="1"/>
    <cellStyle name="Neutral" xfId="38" builtinId="28" customBuiltin="1"/>
    <cellStyle name="Normal" xfId="0" builtinId="0"/>
    <cellStyle name="Normal 2" xfId="39"/>
    <cellStyle name="Normal 3" xfId="47"/>
    <cellStyle name="Note 2" xfId="40"/>
    <cellStyle name="Output" xfId="41" builtinId="21" customBuiltin="1"/>
    <cellStyle name="Percent" xfId="42" builtinId="5"/>
    <cellStyle name="Percent 2" xfId="43"/>
    <cellStyle name="Title 2" xfId="44"/>
    <cellStyle name="Total" xfId="45" builtinId="25" customBuiltin="1"/>
    <cellStyle name="Warning Text" xfId="46"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1" Type="http://schemas.openxmlformats.org/officeDocument/2006/relationships/hyperlink" Target="mailto:+@sum(b11:f1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election activeCell="B12" sqref="B12"/>
    </sheetView>
  </sheetViews>
  <sheetFormatPr defaultRowHeight="12.75" x14ac:dyDescent="0.2"/>
  <sheetData>
    <row r="1" spans="1:2" ht="15" x14ac:dyDescent="0.2">
      <c r="A1" s="45"/>
    </row>
    <row r="2" spans="1:2" ht="15" x14ac:dyDescent="0.2">
      <c r="A2" s="45" t="s">
        <v>138</v>
      </c>
    </row>
    <row r="3" spans="1:2" ht="15" x14ac:dyDescent="0.2">
      <c r="A3" s="45" t="s">
        <v>137</v>
      </c>
    </row>
    <row r="4" spans="1:2" ht="15" x14ac:dyDescent="0.2">
      <c r="A4" s="45" t="s">
        <v>48</v>
      </c>
    </row>
    <row r="5" spans="1:2" ht="15" x14ac:dyDescent="0.2">
      <c r="A5" s="45" t="s">
        <v>131</v>
      </c>
    </row>
    <row r="6" spans="1:2" ht="15" x14ac:dyDescent="0.2">
      <c r="A6" s="45"/>
      <c r="B6" s="38" t="s">
        <v>133</v>
      </c>
    </row>
    <row r="7" spans="1:2" ht="15" x14ac:dyDescent="0.2">
      <c r="A7" s="45"/>
      <c r="B7" s="38" t="s">
        <v>134</v>
      </c>
    </row>
    <row r="8" spans="1:2" ht="15" x14ac:dyDescent="0.2">
      <c r="A8" s="45"/>
      <c r="B8" s="38" t="s">
        <v>135</v>
      </c>
    </row>
    <row r="9" spans="1:2" ht="15" x14ac:dyDescent="0.2">
      <c r="A9" s="45"/>
      <c r="B9" s="38" t="s">
        <v>141</v>
      </c>
    </row>
    <row r="10" spans="1:2" ht="15" x14ac:dyDescent="0.2">
      <c r="A10" s="45"/>
      <c r="B10" s="38" t="s">
        <v>136</v>
      </c>
    </row>
    <row r="11" spans="1:2" ht="15" x14ac:dyDescent="0.2">
      <c r="A11" s="45"/>
      <c r="B11" s="38" t="s">
        <v>142</v>
      </c>
    </row>
    <row r="12" spans="1:2" ht="15" x14ac:dyDescent="0.2">
      <c r="A12" s="45"/>
      <c r="B12" s="38" t="s">
        <v>145</v>
      </c>
    </row>
    <row r="13" spans="1:2" ht="15" x14ac:dyDescent="0.2">
      <c r="A13" s="45"/>
      <c r="B13" s="38" t="s">
        <v>143</v>
      </c>
    </row>
    <row r="14" spans="1:2" ht="15" x14ac:dyDescent="0.2">
      <c r="A14" s="45"/>
      <c r="B14" s="38" t="s">
        <v>140</v>
      </c>
    </row>
    <row r="15" spans="1:2" ht="15" x14ac:dyDescent="0.2">
      <c r="A15" s="45" t="s">
        <v>139</v>
      </c>
    </row>
    <row r="16" spans="1:2" ht="15" x14ac:dyDescent="0.2">
      <c r="A16" s="45" t="s">
        <v>50</v>
      </c>
    </row>
    <row r="17" spans="1:1" ht="15" x14ac:dyDescent="0.2">
      <c r="A17" s="45" t="s">
        <v>51</v>
      </c>
    </row>
    <row r="18" spans="1:1" ht="15" x14ac:dyDescent="0.2">
      <c r="A18" s="45" t="s">
        <v>52</v>
      </c>
    </row>
    <row r="19" spans="1:1" ht="15" x14ac:dyDescent="0.2">
      <c r="A19" s="45" t="s">
        <v>49</v>
      </c>
    </row>
    <row r="20" spans="1:1" ht="15" x14ac:dyDescent="0.2">
      <c r="A20" s="45" t="s">
        <v>53</v>
      </c>
    </row>
    <row r="21" spans="1:1" ht="15" x14ac:dyDescent="0.2">
      <c r="A21" s="45" t="s">
        <v>54</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2" workbookViewId="0">
      <selection activeCell="B17" sqref="B17:B20"/>
    </sheetView>
  </sheetViews>
  <sheetFormatPr defaultRowHeight="12.75" x14ac:dyDescent="0.2"/>
  <cols>
    <col min="8" max="8" width="14.85546875" customWidth="1"/>
    <col min="9" max="9" width="11.85546875" customWidth="1"/>
    <col min="10" max="10" width="12.7109375" customWidth="1"/>
    <col min="15" max="15" width="11.28515625" customWidth="1"/>
    <col min="16" max="16" width="12.42578125" customWidth="1"/>
    <col min="17" max="17" width="15.710937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21.287120313361179</v>
      </c>
      <c r="C17" s="22"/>
      <c r="D17" s="22"/>
      <c r="E17" s="22"/>
      <c r="F17" s="136" t="s">
        <v>58</v>
      </c>
      <c r="G17" s="137"/>
      <c r="H17" s="138"/>
      <c r="I17" s="19"/>
      <c r="J17" s="19"/>
      <c r="K17" s="19"/>
      <c r="L17" s="19"/>
      <c r="M17" s="19"/>
      <c r="N17" s="19"/>
      <c r="O17" s="19"/>
      <c r="P17" s="19"/>
      <c r="Q17" s="19"/>
      <c r="R17" s="18"/>
    </row>
    <row r="18" spans="1:18" x14ac:dyDescent="0.2">
      <c r="A18" s="42" t="s">
        <v>46</v>
      </c>
      <c r="B18" s="48">
        <v>60.959337499999997</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109.9282313354</v>
      </c>
      <c r="C19" s="22"/>
      <c r="D19" s="22"/>
      <c r="E19" s="22"/>
      <c r="F19" s="141" t="s">
        <v>59</v>
      </c>
      <c r="G19" s="142"/>
      <c r="H19" s="54">
        <v>20.77</v>
      </c>
      <c r="I19" s="19"/>
      <c r="J19" s="19"/>
      <c r="K19" s="19"/>
      <c r="L19" s="19"/>
      <c r="M19" s="19"/>
      <c r="N19" s="19"/>
      <c r="O19" s="19"/>
      <c r="P19" s="19"/>
      <c r="Q19" s="19"/>
      <c r="R19" s="18"/>
    </row>
    <row r="20" spans="1:18" x14ac:dyDescent="0.2">
      <c r="A20" s="42" t="s">
        <v>29</v>
      </c>
      <c r="B20" s="48">
        <v>42.398122499999999</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109.9282313354</v>
      </c>
      <c r="D25" s="7"/>
      <c r="E25" s="6">
        <v>0.65</v>
      </c>
      <c r="F25" s="6">
        <v>0.4</v>
      </c>
      <c r="G25" s="6">
        <v>0.28999999999999998</v>
      </c>
      <c r="H25" s="7">
        <f t="shared" ref="H25:J34" si="0">$B25*$C25*E25*12</f>
        <v>4630177.1038470473</v>
      </c>
      <c r="I25" s="7">
        <f t="shared" si="0"/>
        <v>2849339.7562135682</v>
      </c>
      <c r="J25" s="7">
        <f t="shared" si="0"/>
        <v>2065771.3232548363</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164.89234700309999</v>
      </c>
      <c r="D26" s="7"/>
      <c r="E26" s="6">
        <v>0.59</v>
      </c>
      <c r="F26" s="6">
        <v>0.35</v>
      </c>
      <c r="G26" s="6">
        <v>0.25</v>
      </c>
      <c r="H26" s="7">
        <f t="shared" si="0"/>
        <v>49032.388304841807</v>
      </c>
      <c r="I26" s="7">
        <f t="shared" si="0"/>
        <v>29087.010011346836</v>
      </c>
      <c r="J26" s="7">
        <f t="shared" si="0"/>
        <v>20776.435722390597</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131.21535164876119</v>
      </c>
      <c r="D27" s="7"/>
      <c r="E27" s="6">
        <v>0.59</v>
      </c>
      <c r="F27" s="6">
        <v>0.35</v>
      </c>
      <c r="G27" s="6">
        <v>0.25</v>
      </c>
      <c r="H27" s="7">
        <f t="shared" si="0"/>
        <v>7031636.4961366709</v>
      </c>
      <c r="I27" s="7">
        <f t="shared" si="0"/>
        <v>4171309.7858437877</v>
      </c>
      <c r="J27" s="7">
        <f t="shared" si="0"/>
        <v>2979506.9898884203</v>
      </c>
      <c r="L27" s="14">
        <f>+B$18*2*H$19/H$18</f>
        <v>16.347649320529374</v>
      </c>
      <c r="M27" s="6">
        <v>0.18</v>
      </c>
      <c r="N27" s="6">
        <v>0.13</v>
      </c>
      <c r="O27" s="7">
        <f t="shared" si="2"/>
        <v>267268.37264730758</v>
      </c>
      <c r="P27" s="7">
        <f t="shared" si="2"/>
        <v>193027.1580230555</v>
      </c>
    </row>
    <row r="28" spans="1:18" x14ac:dyDescent="0.2">
      <c r="A28" t="str">
        <f t="shared" si="1"/>
        <v>SE + high flow + portable gas¹</v>
      </c>
      <c r="B28" s="49">
        <f t="shared" si="1"/>
        <v>43</v>
      </c>
      <c r="C28" s="21">
        <f>+IF((B$19*1.5 &gt;B$19+B$17),B$19*1.5,B$19+B$17)</f>
        <v>164.89234700309999</v>
      </c>
      <c r="D28" s="7"/>
      <c r="E28" s="6">
        <v>0.59</v>
      </c>
      <c r="F28" s="6">
        <v>0.35</v>
      </c>
      <c r="G28" s="6">
        <v>0.25</v>
      </c>
      <c r="H28" s="7">
        <f t="shared" si="0"/>
        <v>50199.826121623759</v>
      </c>
      <c r="I28" s="7">
        <f t="shared" si="0"/>
        <v>29779.557868759854</v>
      </c>
      <c r="J28" s="7">
        <f t="shared" si="0"/>
        <v>21271.112763399899</v>
      </c>
      <c r="L28" s="14">
        <f>+B$18*2*H$19/H$18</f>
        <v>16.347649320529374</v>
      </c>
      <c r="M28" s="6">
        <v>0.18</v>
      </c>
      <c r="N28" s="6">
        <v>0.13</v>
      </c>
      <c r="O28" s="7">
        <f t="shared" si="2"/>
        <v>1518.3696688907683</v>
      </c>
      <c r="P28" s="7">
        <f t="shared" si="2"/>
        <v>1096.6003164211106</v>
      </c>
    </row>
    <row r="29" spans="1:18" x14ac:dyDescent="0.2">
      <c r="A29" t="str">
        <f t="shared" si="1"/>
        <v>SE + portable liquid</v>
      </c>
      <c r="B29" s="49">
        <f t="shared" si="1"/>
        <v>81</v>
      </c>
      <c r="C29" s="20">
        <f>+B19+B17</f>
        <v>131.21535164876119</v>
      </c>
      <c r="D29" s="7"/>
      <c r="E29" s="6">
        <v>0.59</v>
      </c>
      <c r="F29" s="6">
        <v>0.35</v>
      </c>
      <c r="G29" s="6">
        <v>0.25</v>
      </c>
      <c r="H29" s="7">
        <f t="shared" si="0"/>
        <v>75249.379863531562</v>
      </c>
      <c r="I29" s="7">
        <f t="shared" si="0"/>
        <v>44639.462630908551</v>
      </c>
      <c r="J29" s="7">
        <f t="shared" si="0"/>
        <v>31885.330450648966</v>
      </c>
      <c r="L29" s="14">
        <f>+B$18*2*H$19/H$18</f>
        <v>16.347649320529374</v>
      </c>
      <c r="M29" s="6">
        <v>0.18</v>
      </c>
      <c r="N29" s="6">
        <v>0.13</v>
      </c>
      <c r="O29" s="7">
        <f t="shared" si="2"/>
        <v>2860.1847251198192</v>
      </c>
      <c r="P29" s="7">
        <f t="shared" si="2"/>
        <v>2065.6889681420921</v>
      </c>
      <c r="R29" s="4"/>
    </row>
    <row r="30" spans="1:18" x14ac:dyDescent="0.2">
      <c r="A30" t="str">
        <f t="shared" si="1"/>
        <v>SE + high flow + portable liquid¹</v>
      </c>
      <c r="B30" s="49">
        <f t="shared" si="1"/>
        <v>1</v>
      </c>
      <c r="C30" s="21">
        <f>+IF((B$19*1.5 &gt;B$19+B$17),B$19*1.5,B$19+B$17)</f>
        <v>164.89234700309999</v>
      </c>
      <c r="D30" s="7"/>
      <c r="E30" s="6">
        <v>0.59</v>
      </c>
      <c r="F30" s="6">
        <v>0.35</v>
      </c>
      <c r="G30" s="6">
        <v>0.25</v>
      </c>
      <c r="H30" s="7">
        <f t="shared" si="0"/>
        <v>1167.437816781948</v>
      </c>
      <c r="I30" s="7">
        <f t="shared" si="0"/>
        <v>692.54785741301987</v>
      </c>
      <c r="J30" s="7">
        <f t="shared" si="0"/>
        <v>494.67704100929996</v>
      </c>
      <c r="L30" s="14">
        <f>+B$18*2*H$19/H$18</f>
        <v>16.347649320529374</v>
      </c>
      <c r="M30" s="6">
        <v>0.18</v>
      </c>
      <c r="N30" s="6">
        <v>0.13</v>
      </c>
      <c r="O30" s="7">
        <f t="shared" si="2"/>
        <v>35.310922532343447</v>
      </c>
      <c r="P30" s="7">
        <f t="shared" si="2"/>
        <v>25.502332940025827</v>
      </c>
      <c r="R30" s="4"/>
    </row>
    <row r="31" spans="1:18" x14ac:dyDescent="0.2">
      <c r="A31" t="str">
        <f t="shared" si="1"/>
        <v>SE + OGPE</v>
      </c>
      <c r="B31" s="49">
        <f t="shared" si="1"/>
        <v>2519</v>
      </c>
      <c r="C31" s="20">
        <f>+B19+B17</f>
        <v>131.21535164876119</v>
      </c>
      <c r="D31" s="7"/>
      <c r="E31" s="6">
        <v>0.59</v>
      </c>
      <c r="F31" s="6">
        <v>0.35</v>
      </c>
      <c r="G31" s="6">
        <v>0.25</v>
      </c>
      <c r="H31" s="7">
        <f t="shared" si="0"/>
        <v>2340162.8132868642</v>
      </c>
      <c r="I31" s="7">
        <f t="shared" si="0"/>
        <v>1388232.1773735634</v>
      </c>
      <c r="J31" s="7">
        <f t="shared" si="0"/>
        <v>991594.41240968835</v>
      </c>
      <c r="L31" s="14">
        <f>+B$18*2*H$19/H$18</f>
        <v>16.347649320529374</v>
      </c>
      <c r="M31" s="6">
        <v>0.18</v>
      </c>
      <c r="N31" s="6">
        <v>0.13</v>
      </c>
      <c r="O31" s="7">
        <f t="shared" si="2"/>
        <v>88948.213858973148</v>
      </c>
      <c r="P31" s="7">
        <f t="shared" si="2"/>
        <v>64240.376675925057</v>
      </c>
      <c r="R31" s="4"/>
    </row>
    <row r="32" spans="1:18" x14ac:dyDescent="0.2">
      <c r="A32" t="str">
        <f t="shared" si="1"/>
        <v>SE + high flow + OGPE¹</v>
      </c>
      <c r="B32" s="49">
        <f t="shared" si="1"/>
        <v>15</v>
      </c>
      <c r="C32" s="21">
        <f>+IF((B$19*1.5 &gt;B$19+B$17),B$19*1.5,B$19+B$17)</f>
        <v>164.89234700309999</v>
      </c>
      <c r="D32" s="7"/>
      <c r="E32" s="6">
        <v>0.59</v>
      </c>
      <c r="F32" s="6">
        <v>0.35</v>
      </c>
      <c r="G32" s="6">
        <v>0.25</v>
      </c>
      <c r="H32" s="7">
        <f t="shared" si="0"/>
        <v>17511.567251729219</v>
      </c>
      <c r="I32" s="7">
        <f t="shared" si="0"/>
        <v>10388.217861195299</v>
      </c>
      <c r="J32" s="7">
        <f t="shared" si="0"/>
        <v>7420.1556151394998</v>
      </c>
      <c r="L32" s="14">
        <v>0</v>
      </c>
      <c r="M32" s="6">
        <v>0.18</v>
      </c>
      <c r="N32" s="6">
        <v>0.13</v>
      </c>
      <c r="O32" s="7">
        <f t="shared" si="2"/>
        <v>0</v>
      </c>
      <c r="P32" s="7">
        <f t="shared" si="2"/>
        <v>0</v>
      </c>
      <c r="R32" s="4"/>
    </row>
    <row r="33" spans="1:18" x14ac:dyDescent="0.2">
      <c r="A33" t="str">
        <f t="shared" si="1"/>
        <v>portable gas or liquid only</v>
      </c>
      <c r="B33" s="49">
        <f t="shared" si="1"/>
        <v>520</v>
      </c>
      <c r="C33" s="20">
        <f>+B17</f>
        <v>21.287120313361179</v>
      </c>
      <c r="D33" s="7"/>
      <c r="E33" s="6">
        <v>0.59</v>
      </c>
      <c r="F33" s="6">
        <v>0.35</v>
      </c>
      <c r="G33" s="6">
        <v>0.25</v>
      </c>
      <c r="H33" s="7">
        <f t="shared" si="0"/>
        <v>78370.662145670503</v>
      </c>
      <c r="I33" s="7">
        <f t="shared" si="0"/>
        <v>46491.070764380813</v>
      </c>
      <c r="J33" s="7">
        <f t="shared" si="0"/>
        <v>33207.907688843436</v>
      </c>
      <c r="L33" s="14">
        <f>+B$18*2*H$19/H$18</f>
        <v>16.347649320529374</v>
      </c>
      <c r="M33" s="6">
        <v>0.18</v>
      </c>
      <c r="N33" s="6">
        <v>0.13</v>
      </c>
      <c r="O33" s="7">
        <f t="shared" si="2"/>
        <v>18361.679716818591</v>
      </c>
      <c r="P33" s="7">
        <f t="shared" si="2"/>
        <v>13261.21312881343</v>
      </c>
      <c r="R33" s="4"/>
    </row>
    <row r="34" spans="1:18" x14ac:dyDescent="0.2">
      <c r="A34" t="str">
        <f t="shared" si="1"/>
        <v>transfill only</v>
      </c>
      <c r="B34" s="49">
        <f t="shared" si="1"/>
        <v>196</v>
      </c>
      <c r="C34" s="20">
        <f>+B17</f>
        <v>21.287120313361179</v>
      </c>
      <c r="D34" s="7"/>
      <c r="E34" s="6">
        <v>0.59</v>
      </c>
      <c r="F34" s="6">
        <v>0.35</v>
      </c>
      <c r="G34" s="6">
        <v>0.25</v>
      </c>
      <c r="H34" s="7">
        <f t="shared" si="0"/>
        <v>29539.71111644504</v>
      </c>
      <c r="I34" s="7">
        <f t="shared" si="0"/>
        <v>17523.557441958921</v>
      </c>
      <c r="J34" s="7">
        <f t="shared" si="0"/>
        <v>12516.826744256374</v>
      </c>
      <c r="L34" s="14">
        <f>+B$18*2*H$19/H$18</f>
        <v>16.347649320529374</v>
      </c>
      <c r="M34" s="6">
        <v>0.18</v>
      </c>
      <c r="N34" s="6">
        <v>0.13</v>
      </c>
      <c r="O34" s="7">
        <f t="shared" si="2"/>
        <v>6920.9408163393155</v>
      </c>
      <c r="P34" s="7">
        <f t="shared" si="2"/>
        <v>4998.4572562450621</v>
      </c>
      <c r="R34" s="4"/>
    </row>
    <row r="35" spans="1:18" x14ac:dyDescent="0.2">
      <c r="A35" t="s">
        <v>6</v>
      </c>
      <c r="B35" s="8">
        <f>+SUM(B25:B34)</f>
        <v>16386</v>
      </c>
      <c r="H35" s="4">
        <f>+SUM(H25:H34)</f>
        <v>14303047.385891205</v>
      </c>
      <c r="I35" s="4">
        <f t="shared" ref="I35:J35" si="3">+SUM(I25:I34)</f>
        <v>8587483.1438668855</v>
      </c>
      <c r="J35" s="4">
        <f t="shared" si="3"/>
        <v>6164445.1715786336</v>
      </c>
      <c r="L35" s="14" t="s">
        <v>7</v>
      </c>
      <c r="M35" s="6"/>
      <c r="N35" s="6"/>
      <c r="O35" s="4">
        <f t="shared" ref="O35" si="4">+SUM(O25:O34)</f>
        <v>385913.07235598157</v>
      </c>
      <c r="P35" s="4">
        <f t="shared" ref="P35" si="5">+SUM(P25:P34)</f>
        <v>278714.99670154229</v>
      </c>
      <c r="Q35" s="4">
        <f>SUM(H35:P35)</f>
        <v>29719603.770394247</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109.9282313354</v>
      </c>
      <c r="E40" s="6">
        <v>0.65</v>
      </c>
      <c r="F40" s="6">
        <v>0.4</v>
      </c>
      <c r="G40" s="6">
        <v>0.28999999999999998</v>
      </c>
      <c r="H40" s="7">
        <f t="shared" ref="H40:J49" si="6">$B40*$C40*E40*12</f>
        <v>4630177.1038470473</v>
      </c>
      <c r="I40" s="7">
        <f t="shared" si="6"/>
        <v>2849339.7562135682</v>
      </c>
      <c r="J40" s="7">
        <f t="shared" si="6"/>
        <v>2065771.3232548363</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164.89234700309999</v>
      </c>
      <c r="E41" s="6">
        <v>0.59</v>
      </c>
      <c r="F41" s="6">
        <v>0.35</v>
      </c>
      <c r="G41" s="6">
        <v>0.25</v>
      </c>
      <c r="H41" s="7">
        <f t="shared" si="6"/>
        <v>49032.388304841807</v>
      </c>
      <c r="I41" s="7">
        <f t="shared" si="6"/>
        <v>29087.010011346836</v>
      </c>
      <c r="J41" s="7">
        <f t="shared" si="6"/>
        <v>20776.435722390597</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131.21535164876119</v>
      </c>
      <c r="E42" s="6">
        <v>0.59</v>
      </c>
      <c r="F42" s="6">
        <v>0.35</v>
      </c>
      <c r="G42" s="6">
        <v>0.25</v>
      </c>
      <c r="H42" s="7">
        <f t="shared" si="6"/>
        <v>7031636.4961366709</v>
      </c>
      <c r="I42" s="7">
        <f t="shared" si="6"/>
        <v>4171309.7858437877</v>
      </c>
      <c r="J42" s="7">
        <f t="shared" si="6"/>
        <v>2979506.9898884203</v>
      </c>
      <c r="L42" s="14">
        <f>+B$18</f>
        <v>60.959337499999997</v>
      </c>
      <c r="M42" s="6">
        <v>0.18</v>
      </c>
      <c r="N42" s="6">
        <v>0.13</v>
      </c>
      <c r="O42" s="7">
        <f t="shared" si="8"/>
        <v>996626.64716099994</v>
      </c>
      <c r="P42" s="7">
        <f t="shared" si="8"/>
        <v>719785.91183849995</v>
      </c>
    </row>
    <row r="43" spans="1:18" x14ac:dyDescent="0.2">
      <c r="A43" t="str">
        <f t="shared" si="7"/>
        <v>SE + high flow + portable gas¹</v>
      </c>
      <c r="B43" s="5">
        <f t="shared" si="7"/>
        <v>43</v>
      </c>
      <c r="C43" s="20">
        <f t="shared" si="7"/>
        <v>164.89234700309999</v>
      </c>
      <c r="E43" s="6">
        <v>0.59</v>
      </c>
      <c r="F43" s="6">
        <v>0.35</v>
      </c>
      <c r="G43" s="6">
        <v>0.25</v>
      </c>
      <c r="H43" s="7">
        <f t="shared" si="6"/>
        <v>50199.826121623759</v>
      </c>
      <c r="I43" s="7">
        <f t="shared" si="6"/>
        <v>29779.557868759854</v>
      </c>
      <c r="J43" s="7">
        <f t="shared" si="6"/>
        <v>21271.112763399899</v>
      </c>
      <c r="L43" s="14">
        <f>+B$18</f>
        <v>60.959337499999997</v>
      </c>
      <c r="M43" s="6">
        <v>0.18</v>
      </c>
      <c r="N43" s="6">
        <v>0.13</v>
      </c>
      <c r="O43" s="7">
        <f t="shared" si="8"/>
        <v>5661.9032669999997</v>
      </c>
      <c r="P43" s="7">
        <f t="shared" si="8"/>
        <v>4089.1523594999999</v>
      </c>
    </row>
    <row r="44" spans="1:18" x14ac:dyDescent="0.2">
      <c r="A44" t="str">
        <f t="shared" si="7"/>
        <v>SE + portable liquid</v>
      </c>
      <c r="B44" s="5">
        <f t="shared" si="7"/>
        <v>81</v>
      </c>
      <c r="C44" s="20">
        <f>+B19+B20</f>
        <v>152.3263538354</v>
      </c>
      <c r="E44" s="6">
        <v>0.59</v>
      </c>
      <c r="F44" s="6">
        <v>0.35</v>
      </c>
      <c r="G44" s="6">
        <v>0.25</v>
      </c>
      <c r="H44" s="7">
        <f>$B44*$C44*E44*12</f>
        <v>87356.117397525188</v>
      </c>
      <c r="I44" s="7">
        <f>$B44*$C44*F44*12</f>
        <v>51821.425574803085</v>
      </c>
      <c r="J44" s="7">
        <f t="shared" si="6"/>
        <v>37015.303982002202</v>
      </c>
      <c r="L44" s="14">
        <f t="shared" ref="L44" si="9">+B$18</f>
        <v>60.959337499999997</v>
      </c>
      <c r="M44" s="6">
        <v>0.18</v>
      </c>
      <c r="N44" s="6">
        <v>0.13</v>
      </c>
      <c r="O44" s="7">
        <f t="shared" si="8"/>
        <v>10665.445689</v>
      </c>
      <c r="P44" s="7">
        <f t="shared" si="8"/>
        <v>7702.8218864999999</v>
      </c>
      <c r="R44" s="4"/>
    </row>
    <row r="45" spans="1:18" x14ac:dyDescent="0.2">
      <c r="A45" t="str">
        <f>+A30</f>
        <v>SE + high flow + portable liquid¹</v>
      </c>
      <c r="B45" s="5">
        <f t="shared" si="7"/>
        <v>1</v>
      </c>
      <c r="C45" s="21">
        <f>+IF((B$19*1.5 &gt;B$19+B$17),B$19*1.5,B$19+B$17)</f>
        <v>164.89234700309999</v>
      </c>
      <c r="E45" s="6">
        <v>0.59</v>
      </c>
      <c r="F45" s="6">
        <v>0.35</v>
      </c>
      <c r="G45" s="6">
        <v>0.25</v>
      </c>
      <c r="H45" s="7">
        <f t="shared" ref="H45:I49" si="10">$B45*$C45*E45*12</f>
        <v>1167.437816781948</v>
      </c>
      <c r="I45" s="7">
        <f t="shared" si="10"/>
        <v>692.54785741301987</v>
      </c>
      <c r="J45" s="7">
        <f t="shared" si="6"/>
        <v>494.67704100929996</v>
      </c>
      <c r="L45" s="14">
        <f>+B18*1.5</f>
        <v>91.439006249999991</v>
      </c>
      <c r="M45" s="6">
        <v>0.18</v>
      </c>
      <c r="N45" s="6">
        <v>0.13</v>
      </c>
      <c r="O45" s="7">
        <f t="shared" si="8"/>
        <v>197.5082535</v>
      </c>
      <c r="P45" s="7">
        <f t="shared" si="8"/>
        <v>142.64484974999999</v>
      </c>
      <c r="R45" s="4"/>
    </row>
    <row r="46" spans="1:18" x14ac:dyDescent="0.2">
      <c r="A46" t="str">
        <f>+A31</f>
        <v>SE + OGPE</v>
      </c>
      <c r="B46" s="5">
        <f t="shared" si="7"/>
        <v>2519</v>
      </c>
      <c r="C46" s="20">
        <f>+B19+B20</f>
        <v>152.3263538354</v>
      </c>
      <c r="E46" s="6">
        <v>0.59</v>
      </c>
      <c r="F46" s="6">
        <v>0.35</v>
      </c>
      <c r="G46" s="6">
        <v>0.25</v>
      </c>
      <c r="H46" s="7">
        <f t="shared" si="10"/>
        <v>2716667.4040045179</v>
      </c>
      <c r="I46" s="7">
        <f t="shared" si="10"/>
        <v>1611582.3583077646</v>
      </c>
      <c r="J46" s="7">
        <f t="shared" si="6"/>
        <v>1151130.2559341178</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164.89234700309999</v>
      </c>
      <c r="E47" s="6">
        <v>0.59</v>
      </c>
      <c r="F47" s="6">
        <v>0.35</v>
      </c>
      <c r="G47" s="6">
        <v>0.25</v>
      </c>
      <c r="H47" s="7">
        <f t="shared" si="10"/>
        <v>17511.567251729219</v>
      </c>
      <c r="I47" s="7">
        <f t="shared" si="10"/>
        <v>10388.217861195299</v>
      </c>
      <c r="J47" s="7">
        <f t="shared" si="6"/>
        <v>7420.1556151394998</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21.287120313361179</v>
      </c>
      <c r="E48" s="6">
        <v>0.59</v>
      </c>
      <c r="F48" s="6">
        <v>0.35</v>
      </c>
      <c r="G48" s="6">
        <v>0.25</v>
      </c>
      <c r="H48" s="7">
        <f t="shared" si="10"/>
        <v>78370.662145670503</v>
      </c>
      <c r="I48" s="7">
        <f t="shared" si="10"/>
        <v>46491.070764380813</v>
      </c>
      <c r="J48" s="7">
        <f t="shared" si="6"/>
        <v>33207.907688843436</v>
      </c>
      <c r="L48" s="14">
        <f>+B18</f>
        <v>60.959337499999997</v>
      </c>
      <c r="M48" s="6">
        <v>0.18</v>
      </c>
      <c r="N48" s="6">
        <v>0.13</v>
      </c>
      <c r="O48" s="7">
        <f t="shared" si="8"/>
        <v>68469.527879999994</v>
      </c>
      <c r="P48" s="7">
        <f t="shared" si="8"/>
        <v>49450.21458</v>
      </c>
      <c r="R48" s="4"/>
    </row>
    <row r="49" spans="1:18" x14ac:dyDescent="0.2">
      <c r="A49" t="str">
        <f t="shared" si="11"/>
        <v>transfill only</v>
      </c>
      <c r="B49" s="5">
        <f t="shared" si="7"/>
        <v>196</v>
      </c>
      <c r="C49" s="20">
        <f>+B20</f>
        <v>42.398122499999999</v>
      </c>
      <c r="E49" s="6">
        <v>0.59</v>
      </c>
      <c r="F49" s="6">
        <v>0.35</v>
      </c>
      <c r="G49" s="6">
        <v>0.25</v>
      </c>
      <c r="H49" s="7">
        <f t="shared" si="10"/>
        <v>58835.026630799985</v>
      </c>
      <c r="I49" s="7">
        <f t="shared" si="10"/>
        <v>34902.134441999995</v>
      </c>
      <c r="J49" s="7">
        <f t="shared" si="6"/>
        <v>24930.096029999997</v>
      </c>
      <c r="L49" s="14">
        <v>0</v>
      </c>
      <c r="M49" s="6">
        <v>0.18</v>
      </c>
      <c r="N49" s="6">
        <v>0.13</v>
      </c>
      <c r="O49" s="7">
        <f t="shared" si="8"/>
        <v>0</v>
      </c>
      <c r="P49" s="7">
        <f t="shared" si="8"/>
        <v>0</v>
      </c>
      <c r="R49" s="4"/>
    </row>
    <row r="50" spans="1:18" x14ac:dyDescent="0.2">
      <c r="A50" t="str">
        <f>+A35</f>
        <v>Total</v>
      </c>
      <c r="B50" s="8">
        <v>16386</v>
      </c>
      <c r="H50" s="4">
        <f>+SUM(H40:H49)</f>
        <v>14720954.029657207</v>
      </c>
      <c r="I50" s="4">
        <f t="shared" ref="I50:J50" si="12">+SUM(I40:I49)</f>
        <v>8835393.8647450209</v>
      </c>
      <c r="J50" s="4">
        <f t="shared" si="12"/>
        <v>6341524.25792016</v>
      </c>
      <c r="O50" s="4">
        <f t="shared" ref="O50:P50" si="13">+SUM(O40:O49)</f>
        <v>1081621.0322504998</v>
      </c>
      <c r="P50" s="4">
        <f t="shared" si="13"/>
        <v>781170.74551424989</v>
      </c>
      <c r="Q50" s="4">
        <f>SUM(H50:P50)</f>
        <v>31760663.930087142</v>
      </c>
    </row>
    <row r="51" spans="1:18" ht="13.5" thickBot="1" x14ac:dyDescent="0.25">
      <c r="B51" s="11"/>
      <c r="C51" s="24"/>
      <c r="I51" s="4" t="s">
        <v>7</v>
      </c>
      <c r="Q51" s="4">
        <f>Q50-Q35</f>
        <v>2041060.1596928947</v>
      </c>
      <c r="R51">
        <f>+Q51/Q35</f>
        <v>6.867723323169389E-2</v>
      </c>
    </row>
    <row r="52" spans="1:18" ht="14.25" thickTop="1" thickBot="1" x14ac:dyDescent="0.25">
      <c r="A52" s="11"/>
      <c r="I52" s="13" t="s">
        <v>7</v>
      </c>
      <c r="O52" s="39" t="s">
        <v>20</v>
      </c>
      <c r="P52" s="40"/>
      <c r="Q52" s="51">
        <v>6.4299999999999996E-2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102.86</v>
      </c>
      <c r="E57" s="6">
        <v>0.65</v>
      </c>
      <c r="F57" s="6">
        <v>0.4</v>
      </c>
      <c r="G57" s="6">
        <v>0.28999999999999998</v>
      </c>
      <c r="H57" s="7">
        <f>$B57*$C57*E57*12</f>
        <v>4332463.2</v>
      </c>
      <c r="I57" s="7">
        <f>$B57*$C57*F57*12</f>
        <v>2666131.2000000002</v>
      </c>
      <c r="J57" s="7">
        <f>$B57*$C57*G57*12</f>
        <v>1932945.1199999996</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154.29</v>
      </c>
      <c r="E58" s="6">
        <v>0.59</v>
      </c>
      <c r="F58" s="6">
        <v>0.35</v>
      </c>
      <c r="G58" s="6">
        <v>0.25</v>
      </c>
      <c r="H58" s="7">
        <f t="shared" ref="H58:I60" si="18">$B58*$C58*E58*12</f>
        <v>45879.674399999996</v>
      </c>
      <c r="I58" s="7">
        <f t="shared" si="18"/>
        <v>27216.755999999994</v>
      </c>
      <c r="J58" s="7">
        <f>$B58*$C58*G58*12</f>
        <v>19440.539999999997</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122.78</v>
      </c>
      <c r="E59" s="6">
        <v>0.59</v>
      </c>
      <c r="F59" s="6">
        <v>0.35</v>
      </c>
      <c r="G59" s="6">
        <v>0.25</v>
      </c>
      <c r="H59" s="7">
        <f t="shared" si="18"/>
        <v>6579598.4856000002</v>
      </c>
      <c r="I59" s="7">
        <f t="shared" si="18"/>
        <v>3903151.6439999999</v>
      </c>
      <c r="J59" s="7">
        <f>$B59*$C59*G59*12</f>
        <v>2787965.46</v>
      </c>
      <c r="L59" s="55">
        <f t="shared" si="16"/>
        <v>57.039652098749997</v>
      </c>
      <c r="M59" s="6">
        <v>0.18</v>
      </c>
      <c r="N59" s="6">
        <v>0.13</v>
      </c>
      <c r="O59" s="7">
        <f t="shared" si="19"/>
        <v>932543.55374854768</v>
      </c>
      <c r="P59" s="7">
        <f t="shared" si="19"/>
        <v>673503.67770728446</v>
      </c>
    </row>
    <row r="60" spans="1:18" x14ac:dyDescent="0.2">
      <c r="A60" t="str">
        <f t="shared" si="15"/>
        <v>SE + high flow + portable gas¹</v>
      </c>
      <c r="B60">
        <f t="shared" si="14"/>
        <v>43</v>
      </c>
      <c r="C60" s="28">
        <f t="shared" si="17"/>
        <v>154.29</v>
      </c>
      <c r="E60" s="6">
        <v>0.59</v>
      </c>
      <c r="F60" s="6">
        <v>0.35</v>
      </c>
      <c r="G60" s="6">
        <v>0.25</v>
      </c>
      <c r="H60" s="7">
        <f t="shared" si="18"/>
        <v>46972.047599999991</v>
      </c>
      <c r="I60" s="7">
        <f t="shared" si="18"/>
        <v>27864.773999999994</v>
      </c>
      <c r="J60" s="7">
        <f>$B60*$C60*G60*12</f>
        <v>19903.409999999996</v>
      </c>
      <c r="L60" s="55">
        <f t="shared" si="16"/>
        <v>57.039652098749997</v>
      </c>
      <c r="M60" s="6">
        <v>0.18</v>
      </c>
      <c r="N60" s="6">
        <v>0.13</v>
      </c>
      <c r="O60" s="7">
        <f t="shared" si="19"/>
        <v>5297.8428869318996</v>
      </c>
      <c r="P60" s="7">
        <f t="shared" si="19"/>
        <v>3826.2198627841499</v>
      </c>
    </row>
    <row r="61" spans="1:18" x14ac:dyDescent="0.2">
      <c r="A61" t="str">
        <f t="shared" si="15"/>
        <v>SE + portable liquid</v>
      </c>
      <c r="B61">
        <f t="shared" si="14"/>
        <v>81</v>
      </c>
      <c r="C61" s="28">
        <f t="shared" si="17"/>
        <v>142.53</v>
      </c>
      <c r="E61" s="6">
        <v>0.59</v>
      </c>
      <c r="F61" s="6">
        <v>0.35</v>
      </c>
      <c r="G61" s="6">
        <v>0.25</v>
      </c>
      <c r="H61" s="7">
        <f>$B61*$C61*E61*12</f>
        <v>81738.104399999997</v>
      </c>
      <c r="I61" s="7">
        <f>$B61*$C61*F61*12</f>
        <v>48488.705999999998</v>
      </c>
      <c r="J61" s="7">
        <f>$B61*$C61*G61*12</f>
        <v>34634.79</v>
      </c>
      <c r="L61" s="55">
        <f t="shared" si="16"/>
        <v>57.039652098749997</v>
      </c>
      <c r="M61" s="6">
        <v>0.18</v>
      </c>
      <c r="N61" s="6">
        <v>0.13</v>
      </c>
      <c r="O61" s="7">
        <f t="shared" si="19"/>
        <v>9979.6575311972992</v>
      </c>
      <c r="P61" s="7">
        <f t="shared" si="19"/>
        <v>7207.5304391980499</v>
      </c>
    </row>
    <row r="62" spans="1:18" x14ac:dyDescent="0.2">
      <c r="A62" t="str">
        <f t="shared" si="15"/>
        <v>SE + high flow + portable liquid¹</v>
      </c>
      <c r="B62">
        <f>+B45</f>
        <v>1</v>
      </c>
      <c r="C62" s="28">
        <f t="shared" si="17"/>
        <v>154.29</v>
      </c>
      <c r="E62" s="6">
        <v>0.59</v>
      </c>
      <c r="F62" s="6">
        <v>0.35</v>
      </c>
      <c r="G62" s="6">
        <v>0.25</v>
      </c>
      <c r="H62" s="7">
        <f>$B62*$C62*E62*12</f>
        <v>1092.3732</v>
      </c>
      <c r="I62" s="7">
        <f>$B62*$C62*F62*12</f>
        <v>648.01799999999992</v>
      </c>
      <c r="J62" s="7">
        <f>$B62*$C62*G62*12</f>
        <v>462.87</v>
      </c>
      <c r="L62" s="55">
        <f t="shared" si="16"/>
        <v>85.559478148124995</v>
      </c>
      <c r="M62" s="6">
        <v>0.18</v>
      </c>
      <c r="N62" s="6">
        <v>0.13</v>
      </c>
      <c r="O62" s="7">
        <f t="shared" si="19"/>
        <v>184.80847279994998</v>
      </c>
      <c r="P62" s="7">
        <f t="shared" si="19"/>
        <v>133.47278591107499</v>
      </c>
    </row>
    <row r="63" spans="1:18" x14ac:dyDescent="0.2">
      <c r="A63" t="str">
        <f t="shared" si="15"/>
        <v>SE + OGPE</v>
      </c>
      <c r="B63">
        <f>+B46</f>
        <v>2519</v>
      </c>
      <c r="C63" s="28">
        <f t="shared" si="17"/>
        <v>142.53</v>
      </c>
      <c r="E63" s="6">
        <v>0.59</v>
      </c>
      <c r="F63" s="6">
        <v>0.35</v>
      </c>
      <c r="G63" s="6">
        <v>0.25</v>
      </c>
      <c r="H63" s="7">
        <f t="shared" ref="H63:J66" si="20">$B63*$C63*E63*12</f>
        <v>2541954.1355999997</v>
      </c>
      <c r="I63" s="7">
        <f t="shared" si="20"/>
        <v>1507938.8939999999</v>
      </c>
      <c r="J63" s="7">
        <f t="shared" si="20"/>
        <v>1077099.21</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154.29</v>
      </c>
      <c r="E64" s="6">
        <v>0.59</v>
      </c>
      <c r="F64" s="6">
        <v>0.35</v>
      </c>
      <c r="G64" s="6">
        <v>0.25</v>
      </c>
      <c r="H64" s="7">
        <f t="shared" si="20"/>
        <v>16385.597999999998</v>
      </c>
      <c r="I64" s="7">
        <f t="shared" si="20"/>
        <v>9720.2699999999986</v>
      </c>
      <c r="J64" s="7">
        <f t="shared" si="20"/>
        <v>6943.0499999999993</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19.920000000000002</v>
      </c>
      <c r="E65" s="6">
        <v>0.59</v>
      </c>
      <c r="F65" s="6">
        <v>0.35</v>
      </c>
      <c r="G65" s="6">
        <v>0.25</v>
      </c>
      <c r="H65" s="7">
        <f t="shared" si="20"/>
        <v>73337.472000000009</v>
      </c>
      <c r="I65" s="7">
        <f t="shared" si="20"/>
        <v>43505.279999999999</v>
      </c>
      <c r="J65" s="7">
        <f t="shared" si="20"/>
        <v>31075.200000000004</v>
      </c>
      <c r="L65" s="55">
        <f t="shared" si="16"/>
        <v>57.039652098749997</v>
      </c>
      <c r="M65" s="6">
        <v>0.18</v>
      </c>
      <c r="N65" s="6">
        <v>0.13</v>
      </c>
      <c r="O65" s="7">
        <f t="shared" si="19"/>
        <v>64066.937237315993</v>
      </c>
      <c r="P65" s="7">
        <f t="shared" si="19"/>
        <v>46270.565782505997</v>
      </c>
      <c r="Q65" s="4"/>
    </row>
    <row r="66" spans="1:17" x14ac:dyDescent="0.2">
      <c r="A66" t="str">
        <f t="shared" si="15"/>
        <v>transfill only</v>
      </c>
      <c r="B66">
        <f>+B49</f>
        <v>196</v>
      </c>
      <c r="C66" s="28">
        <f t="shared" si="17"/>
        <v>39.67</v>
      </c>
      <c r="E66" s="6">
        <v>0.59</v>
      </c>
      <c r="F66" s="6">
        <v>0.35</v>
      </c>
      <c r="G66" s="6">
        <v>0.25</v>
      </c>
      <c r="H66" s="7">
        <f t="shared" si="20"/>
        <v>55049.265599999999</v>
      </c>
      <c r="I66" s="7">
        <f t="shared" si="20"/>
        <v>32656.344000000001</v>
      </c>
      <c r="J66" s="7">
        <f t="shared" si="20"/>
        <v>23325.960000000003</v>
      </c>
      <c r="L66" s="55">
        <f t="shared" si="16"/>
        <v>0</v>
      </c>
      <c r="M66" s="6">
        <v>0.18</v>
      </c>
      <c r="N66" s="6">
        <v>0.13</v>
      </c>
      <c r="O66" s="7">
        <f t="shared" si="19"/>
        <v>0</v>
      </c>
      <c r="P66" s="7">
        <f t="shared" si="19"/>
        <v>0</v>
      </c>
      <c r="Q66" s="4"/>
    </row>
    <row r="67" spans="1:17" x14ac:dyDescent="0.2">
      <c r="A67" s="38" t="s">
        <v>7</v>
      </c>
      <c r="B67" s="8">
        <f>+SUM(B57:B66)</f>
        <v>16386</v>
      </c>
      <c r="H67" s="4">
        <f>SUM(H57:H66)</f>
        <v>13774470.356399996</v>
      </c>
      <c r="I67" s="4">
        <f t="shared" ref="I67:J67" si="21">SUM(I57:I66)</f>
        <v>8267321.8859999999</v>
      </c>
      <c r="J67" s="4">
        <f t="shared" si="21"/>
        <v>5933795.6099999994</v>
      </c>
      <c r="O67" s="4">
        <f t="shared" ref="O67:P67" si="22">SUM(O57:O66)</f>
        <v>1012072.7998767928</v>
      </c>
      <c r="P67" s="4">
        <f t="shared" si="22"/>
        <v>730941.46657768369</v>
      </c>
      <c r="Q67" s="4">
        <f>SUM(H67:P67)</f>
        <v>29718602.118854474</v>
      </c>
    </row>
    <row r="68" spans="1:17" x14ac:dyDescent="0.2">
      <c r="Q68" s="13">
        <f>+Q67/Q35</f>
        <v>0.99996629660517977</v>
      </c>
    </row>
  </sheetData>
  <mergeCells count="4">
    <mergeCell ref="A1:R1"/>
    <mergeCell ref="F17:H17"/>
    <mergeCell ref="F18:G18"/>
    <mergeCell ref="F19:G19"/>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4" workbookViewId="0">
      <selection activeCell="Q33" sqref="Q33"/>
    </sheetView>
  </sheetViews>
  <sheetFormatPr defaultRowHeight="12.75" x14ac:dyDescent="0.2"/>
  <cols>
    <col min="8" max="8" width="13.85546875" customWidth="1"/>
    <col min="9" max="9" width="11.7109375" customWidth="1"/>
    <col min="10" max="10" width="12" customWidth="1"/>
    <col min="15" max="15" width="11.5703125" customWidth="1"/>
    <col min="16" max="16" width="11.7109375" customWidth="1"/>
    <col min="17" max="17" width="13.14062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21.276120313361179</v>
      </c>
      <c r="C17" s="22"/>
      <c r="D17" s="22"/>
      <c r="E17" s="22"/>
      <c r="F17" s="136" t="s">
        <v>58</v>
      </c>
      <c r="G17" s="137"/>
      <c r="H17" s="138"/>
      <c r="I17" s="19"/>
      <c r="J17" s="19"/>
      <c r="K17" s="19"/>
      <c r="L17" s="19"/>
      <c r="M17" s="19"/>
      <c r="N17" s="19"/>
      <c r="O17" s="19"/>
      <c r="P17" s="19"/>
      <c r="Q17" s="19"/>
      <c r="R17" s="18"/>
    </row>
    <row r="18" spans="1:18" x14ac:dyDescent="0.2">
      <c r="A18" s="42" t="s">
        <v>46</v>
      </c>
      <c r="B18" s="48">
        <v>60.783337500000002</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109.1297313354</v>
      </c>
      <c r="C19" s="22"/>
      <c r="D19" s="22"/>
      <c r="E19" s="22"/>
      <c r="F19" s="141" t="s">
        <v>59</v>
      </c>
      <c r="G19" s="142"/>
      <c r="H19" s="54">
        <v>20.77</v>
      </c>
      <c r="I19" s="19"/>
      <c r="J19" s="19"/>
      <c r="K19" s="19"/>
      <c r="L19" s="19"/>
      <c r="M19" s="19"/>
      <c r="N19" s="19"/>
      <c r="O19" s="19"/>
      <c r="P19" s="19"/>
      <c r="Q19" s="19"/>
      <c r="R19" s="18"/>
    </row>
    <row r="20" spans="1:18" x14ac:dyDescent="0.2">
      <c r="A20" s="42" t="s">
        <v>29</v>
      </c>
      <c r="B20" s="48">
        <v>42.096122500000007</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109.1297313354</v>
      </c>
      <c r="D25" s="7"/>
      <c r="E25" s="6">
        <v>0.65</v>
      </c>
      <c r="F25" s="6">
        <v>0.4</v>
      </c>
      <c r="G25" s="6">
        <v>0.28999999999999998</v>
      </c>
      <c r="H25" s="7">
        <f t="shared" ref="H25:J34" si="0">$B25*$C25*E25*12</f>
        <v>4596544.2838470479</v>
      </c>
      <c r="I25" s="7">
        <f t="shared" si="0"/>
        <v>2828642.636213568</v>
      </c>
      <c r="J25" s="7">
        <f t="shared" si="0"/>
        <v>2050765.9112548362</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163.6945970031</v>
      </c>
      <c r="D26" s="7"/>
      <c r="E26" s="6">
        <v>0.59</v>
      </c>
      <c r="F26" s="6">
        <v>0.35</v>
      </c>
      <c r="G26" s="6">
        <v>0.25</v>
      </c>
      <c r="H26" s="7">
        <f t="shared" si="0"/>
        <v>48676.225364841812</v>
      </c>
      <c r="I26" s="7">
        <f t="shared" si="0"/>
        <v>28875.726911346836</v>
      </c>
      <c r="J26" s="7">
        <f t="shared" si="0"/>
        <v>20625.519222390598</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130.40585164876117</v>
      </c>
      <c r="D27" s="7"/>
      <c r="E27" s="6">
        <v>0.59</v>
      </c>
      <c r="F27" s="6">
        <v>0.35</v>
      </c>
      <c r="G27" s="6">
        <v>0.25</v>
      </c>
      <c r="H27" s="7">
        <f t="shared" si="0"/>
        <v>6988256.5891966708</v>
      </c>
      <c r="I27" s="7">
        <f t="shared" si="0"/>
        <v>4145575.9427437875</v>
      </c>
      <c r="J27" s="7">
        <f t="shared" si="0"/>
        <v>2961125.6733884201</v>
      </c>
      <c r="L27" s="14">
        <f>+B$18*2*H$19/H$18</f>
        <v>16.300450869916073</v>
      </c>
      <c r="M27" s="6">
        <v>0.18</v>
      </c>
      <c r="N27" s="6">
        <v>0.13</v>
      </c>
      <c r="O27" s="7">
        <f t="shared" si="2"/>
        <v>266496.72329029266</v>
      </c>
      <c r="P27" s="7">
        <f t="shared" si="2"/>
        <v>192469.85570965579</v>
      </c>
    </row>
    <row r="28" spans="1:18" x14ac:dyDescent="0.2">
      <c r="A28" t="str">
        <f t="shared" si="1"/>
        <v>SE + high flow + portable gas¹</v>
      </c>
      <c r="B28" s="49">
        <f t="shared" si="1"/>
        <v>43</v>
      </c>
      <c r="C28" s="21">
        <f>+IF((B$19*1.5 &gt;B$19+B$17),B$19*1.5,B$19+B$17)</f>
        <v>163.6945970031</v>
      </c>
      <c r="D28" s="7"/>
      <c r="E28" s="6">
        <v>0.59</v>
      </c>
      <c r="F28" s="6">
        <v>0.35</v>
      </c>
      <c r="G28" s="6">
        <v>0.25</v>
      </c>
      <c r="H28" s="7">
        <f t="shared" si="0"/>
        <v>49835.183111623766</v>
      </c>
      <c r="I28" s="7">
        <f t="shared" si="0"/>
        <v>29563.244218759861</v>
      </c>
      <c r="J28" s="7">
        <f t="shared" si="0"/>
        <v>21116.603013399901</v>
      </c>
      <c r="L28" s="14">
        <f>+B$18*2*H$19/H$18</f>
        <v>16.300450869916073</v>
      </c>
      <c r="M28" s="6">
        <v>0.18</v>
      </c>
      <c r="N28" s="6">
        <v>0.13</v>
      </c>
      <c r="O28" s="7">
        <f t="shared" si="2"/>
        <v>1513.9858767978046</v>
      </c>
      <c r="P28" s="7">
        <f t="shared" si="2"/>
        <v>1093.4342443539701</v>
      </c>
    </row>
    <row r="29" spans="1:18" x14ac:dyDescent="0.2">
      <c r="A29" t="str">
        <f t="shared" si="1"/>
        <v>SE + portable liquid</v>
      </c>
      <c r="B29" s="49">
        <f t="shared" si="1"/>
        <v>81</v>
      </c>
      <c r="C29" s="20">
        <f>+B19+B17</f>
        <v>130.40585164876117</v>
      </c>
      <c r="D29" s="7"/>
      <c r="E29" s="6">
        <v>0.59</v>
      </c>
      <c r="F29" s="6">
        <v>0.35</v>
      </c>
      <c r="G29" s="6">
        <v>0.25</v>
      </c>
      <c r="H29" s="7">
        <f t="shared" si="0"/>
        <v>74785.147803531552</v>
      </c>
      <c r="I29" s="7">
        <f t="shared" si="0"/>
        <v>44364.070730908548</v>
      </c>
      <c r="J29" s="7">
        <f t="shared" si="0"/>
        <v>31688.621950648965</v>
      </c>
      <c r="L29" s="14">
        <f>+B$18*2*H$19/H$18</f>
        <v>16.300450869916073</v>
      </c>
      <c r="M29" s="6">
        <v>0.18</v>
      </c>
      <c r="N29" s="6">
        <v>0.13</v>
      </c>
      <c r="O29" s="7">
        <f t="shared" si="2"/>
        <v>2851.9268842005158</v>
      </c>
      <c r="P29" s="7">
        <f t="shared" si="2"/>
        <v>2059.7249719225947</v>
      </c>
      <c r="R29" s="4"/>
    </row>
    <row r="30" spans="1:18" x14ac:dyDescent="0.2">
      <c r="A30" t="str">
        <f t="shared" si="1"/>
        <v>SE + high flow + portable liquid¹</v>
      </c>
      <c r="B30" s="49">
        <f t="shared" si="1"/>
        <v>1</v>
      </c>
      <c r="C30" s="21">
        <f>+IF((B$19*1.5 &gt;B$19+B$17),B$19*1.5,B$19+B$17)</f>
        <v>163.6945970031</v>
      </c>
      <c r="D30" s="7"/>
      <c r="E30" s="6">
        <v>0.59</v>
      </c>
      <c r="F30" s="6">
        <v>0.35</v>
      </c>
      <c r="G30" s="6">
        <v>0.25</v>
      </c>
      <c r="H30" s="7">
        <f t="shared" si="0"/>
        <v>1158.9577467819479</v>
      </c>
      <c r="I30" s="7">
        <f t="shared" si="0"/>
        <v>687.51730741301992</v>
      </c>
      <c r="J30" s="7">
        <f t="shared" si="0"/>
        <v>491.0837910093</v>
      </c>
      <c r="L30" s="14">
        <f>+B$18*2*H$19/H$18</f>
        <v>16.300450869916073</v>
      </c>
      <c r="M30" s="6">
        <v>0.18</v>
      </c>
      <c r="N30" s="6">
        <v>0.13</v>
      </c>
      <c r="O30" s="7">
        <f t="shared" si="2"/>
        <v>35.208973879018714</v>
      </c>
      <c r="P30" s="7">
        <f t="shared" si="2"/>
        <v>25.428703357069072</v>
      </c>
      <c r="R30" s="4"/>
    </row>
    <row r="31" spans="1:18" x14ac:dyDescent="0.2">
      <c r="A31" t="str">
        <f t="shared" si="1"/>
        <v>SE + OGPE</v>
      </c>
      <c r="B31" s="49">
        <f t="shared" si="1"/>
        <v>2519</v>
      </c>
      <c r="C31" s="20">
        <f>+B19+B17</f>
        <v>130.40585164876117</v>
      </c>
      <c r="D31" s="7"/>
      <c r="E31" s="6">
        <v>0.59</v>
      </c>
      <c r="F31" s="6">
        <v>0.35</v>
      </c>
      <c r="G31" s="6">
        <v>0.25</v>
      </c>
      <c r="H31" s="7">
        <f t="shared" si="0"/>
        <v>2325725.769346864</v>
      </c>
      <c r="I31" s="7">
        <f t="shared" si="0"/>
        <v>1379667.8292735633</v>
      </c>
      <c r="J31" s="7">
        <f t="shared" si="0"/>
        <v>985477.0209096882</v>
      </c>
      <c r="L31" s="14">
        <f>+B$18*2*H$19/H$18</f>
        <v>16.300450869916073</v>
      </c>
      <c r="M31" s="6">
        <v>0.18</v>
      </c>
      <c r="N31" s="6">
        <v>0.13</v>
      </c>
      <c r="O31" s="7">
        <f t="shared" si="2"/>
        <v>88691.405201248141</v>
      </c>
      <c r="P31" s="7">
        <f t="shared" si="2"/>
        <v>64054.903756456988</v>
      </c>
      <c r="R31" s="4"/>
    </row>
    <row r="32" spans="1:18" x14ac:dyDescent="0.2">
      <c r="A32" t="str">
        <f t="shared" si="1"/>
        <v>SE + high flow + OGPE¹</v>
      </c>
      <c r="B32" s="49">
        <f t="shared" si="1"/>
        <v>15</v>
      </c>
      <c r="C32" s="21">
        <f>+IF((B$19*1.5 &gt;B$19+B$17),B$19*1.5,B$19+B$17)</f>
        <v>163.6945970031</v>
      </c>
      <c r="D32" s="7"/>
      <c r="E32" s="6">
        <v>0.59</v>
      </c>
      <c r="F32" s="6">
        <v>0.35</v>
      </c>
      <c r="G32" s="6">
        <v>0.25</v>
      </c>
      <c r="H32" s="7">
        <f t="shared" si="0"/>
        <v>17384.366201729219</v>
      </c>
      <c r="I32" s="7">
        <f t="shared" si="0"/>
        <v>10312.759611195299</v>
      </c>
      <c r="J32" s="7">
        <f t="shared" si="0"/>
        <v>7366.2568651394995</v>
      </c>
      <c r="L32" s="14">
        <v>0</v>
      </c>
      <c r="M32" s="6">
        <v>0.18</v>
      </c>
      <c r="N32" s="6">
        <v>0.13</v>
      </c>
      <c r="O32" s="7">
        <f t="shared" si="2"/>
        <v>0</v>
      </c>
      <c r="P32" s="7">
        <f t="shared" si="2"/>
        <v>0</v>
      </c>
      <c r="R32" s="4"/>
    </row>
    <row r="33" spans="1:18" x14ac:dyDescent="0.2">
      <c r="A33" t="str">
        <f t="shared" si="1"/>
        <v>portable gas or liquid only</v>
      </c>
      <c r="B33" s="49">
        <f t="shared" si="1"/>
        <v>520</v>
      </c>
      <c r="C33" s="20">
        <f>+B17</f>
        <v>21.276120313361179</v>
      </c>
      <c r="D33" s="7"/>
      <c r="E33" s="6">
        <v>0.59</v>
      </c>
      <c r="F33" s="6">
        <v>0.35</v>
      </c>
      <c r="G33" s="6">
        <v>0.25</v>
      </c>
      <c r="H33" s="7">
        <f t="shared" si="0"/>
        <v>78330.164545670501</v>
      </c>
      <c r="I33" s="7">
        <f t="shared" si="0"/>
        <v>46467.046764380808</v>
      </c>
      <c r="J33" s="7">
        <f t="shared" si="0"/>
        <v>33190.747688843439</v>
      </c>
      <c r="L33" s="14">
        <f>+B$18*2*H$19/H$18</f>
        <v>16.300450869916073</v>
      </c>
      <c r="M33" s="6">
        <v>0.18</v>
      </c>
      <c r="N33" s="6">
        <v>0.13</v>
      </c>
      <c r="O33" s="7">
        <f t="shared" si="2"/>
        <v>18308.666417089731</v>
      </c>
      <c r="P33" s="7">
        <f t="shared" si="2"/>
        <v>13222.925745675917</v>
      </c>
      <c r="R33" s="4"/>
    </row>
    <row r="34" spans="1:18" x14ac:dyDescent="0.2">
      <c r="A34" t="str">
        <f t="shared" si="1"/>
        <v>transfill only</v>
      </c>
      <c r="B34" s="49">
        <f t="shared" si="1"/>
        <v>196</v>
      </c>
      <c r="C34" s="20">
        <f>+B17</f>
        <v>21.276120313361179</v>
      </c>
      <c r="D34" s="7"/>
      <c r="E34" s="6">
        <v>0.59</v>
      </c>
      <c r="F34" s="6">
        <v>0.35</v>
      </c>
      <c r="G34" s="6">
        <v>0.25</v>
      </c>
      <c r="H34" s="7">
        <f t="shared" si="0"/>
        <v>29524.446636445042</v>
      </c>
      <c r="I34" s="7">
        <f t="shared" si="0"/>
        <v>17514.502241958922</v>
      </c>
      <c r="J34" s="7">
        <f t="shared" si="0"/>
        <v>12510.358744256373</v>
      </c>
      <c r="L34" s="14">
        <f>+B$18*2*H$19/H$18</f>
        <v>16.300450869916073</v>
      </c>
      <c r="M34" s="6">
        <v>0.18</v>
      </c>
      <c r="N34" s="6">
        <v>0.13</v>
      </c>
      <c r="O34" s="7">
        <f t="shared" si="2"/>
        <v>6900.9588802876679</v>
      </c>
      <c r="P34" s="7">
        <f t="shared" si="2"/>
        <v>4984.0258579855381</v>
      </c>
      <c r="R34" s="4"/>
    </row>
    <row r="35" spans="1:18" x14ac:dyDescent="0.2">
      <c r="A35" t="s">
        <v>6</v>
      </c>
      <c r="B35" s="8">
        <f>+SUM(B25:B34)</f>
        <v>16386</v>
      </c>
      <c r="H35" s="4">
        <f>+SUM(H25:H34)</f>
        <v>14210221.133801207</v>
      </c>
      <c r="I35" s="4">
        <f t="shared" ref="I35:J35" si="3">+SUM(I25:I34)</f>
        <v>8531671.2760168836</v>
      </c>
      <c r="J35" s="4">
        <f t="shared" si="3"/>
        <v>6124357.7968286322</v>
      </c>
      <c r="L35" s="14" t="s">
        <v>7</v>
      </c>
      <c r="M35" s="6"/>
      <c r="N35" s="6"/>
      <c r="O35" s="4">
        <f t="shared" ref="O35" si="4">+SUM(O25:O34)</f>
        <v>384798.87552379555</v>
      </c>
      <c r="P35" s="4">
        <f t="shared" ref="P35" si="5">+SUM(P25:P34)</f>
        <v>277910.29898940783</v>
      </c>
      <c r="Q35" s="4">
        <f>SUM(H35:P35)</f>
        <v>29528959.381159924</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109.1297313354</v>
      </c>
      <c r="E40" s="6">
        <v>0.65</v>
      </c>
      <c r="F40" s="6">
        <v>0.4</v>
      </c>
      <c r="G40" s="6">
        <v>0.28999999999999998</v>
      </c>
      <c r="H40" s="7">
        <f t="shared" ref="H40:J49" si="6">$B40*$C40*E40*12</f>
        <v>4596544.2838470479</v>
      </c>
      <c r="I40" s="7">
        <f t="shared" si="6"/>
        <v>2828642.636213568</v>
      </c>
      <c r="J40" s="7">
        <f t="shared" si="6"/>
        <v>2050765.9112548362</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163.6945970031</v>
      </c>
      <c r="E41" s="6">
        <v>0.59</v>
      </c>
      <c r="F41" s="6">
        <v>0.35</v>
      </c>
      <c r="G41" s="6">
        <v>0.25</v>
      </c>
      <c r="H41" s="7">
        <f t="shared" si="6"/>
        <v>48676.225364841812</v>
      </c>
      <c r="I41" s="7">
        <f t="shared" si="6"/>
        <v>28875.726911346836</v>
      </c>
      <c r="J41" s="7">
        <f t="shared" si="6"/>
        <v>20625.519222390598</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130.40585164876117</v>
      </c>
      <c r="E42" s="6">
        <v>0.59</v>
      </c>
      <c r="F42" s="6">
        <v>0.35</v>
      </c>
      <c r="G42" s="6">
        <v>0.25</v>
      </c>
      <c r="H42" s="7">
        <f t="shared" si="6"/>
        <v>6988256.5891966708</v>
      </c>
      <c r="I42" s="7">
        <f t="shared" si="6"/>
        <v>4145575.9427437875</v>
      </c>
      <c r="J42" s="7">
        <f t="shared" si="6"/>
        <v>2961125.6733884201</v>
      </c>
      <c r="L42" s="14">
        <f>+B$18</f>
        <v>60.783337500000002</v>
      </c>
      <c r="M42" s="6">
        <v>0.18</v>
      </c>
      <c r="N42" s="6">
        <v>0.13</v>
      </c>
      <c r="O42" s="7">
        <f t="shared" si="8"/>
        <v>993749.21612099989</v>
      </c>
      <c r="P42" s="7">
        <f t="shared" si="8"/>
        <v>717707.76719849999</v>
      </c>
    </row>
    <row r="43" spans="1:18" x14ac:dyDescent="0.2">
      <c r="A43" t="str">
        <f t="shared" si="7"/>
        <v>SE + high flow + portable gas¹</v>
      </c>
      <c r="B43" s="5">
        <f t="shared" si="7"/>
        <v>43</v>
      </c>
      <c r="C43" s="20">
        <f t="shared" si="7"/>
        <v>163.6945970031</v>
      </c>
      <c r="E43" s="6">
        <v>0.59</v>
      </c>
      <c r="F43" s="6">
        <v>0.35</v>
      </c>
      <c r="G43" s="6">
        <v>0.25</v>
      </c>
      <c r="H43" s="7">
        <f t="shared" si="6"/>
        <v>49835.183111623766</v>
      </c>
      <c r="I43" s="7">
        <f t="shared" si="6"/>
        <v>29563.244218759861</v>
      </c>
      <c r="J43" s="7">
        <f t="shared" si="6"/>
        <v>21116.603013399901</v>
      </c>
      <c r="L43" s="14">
        <f>+B$18</f>
        <v>60.783337500000002</v>
      </c>
      <c r="M43" s="6">
        <v>0.18</v>
      </c>
      <c r="N43" s="6">
        <v>0.13</v>
      </c>
      <c r="O43" s="7">
        <f t="shared" si="8"/>
        <v>5645.5563869999987</v>
      </c>
      <c r="P43" s="7">
        <f t="shared" si="8"/>
        <v>4077.3462795</v>
      </c>
    </row>
    <row r="44" spans="1:18" x14ac:dyDescent="0.2">
      <c r="A44" t="str">
        <f t="shared" si="7"/>
        <v>SE + portable liquid</v>
      </c>
      <c r="B44" s="5">
        <f t="shared" si="7"/>
        <v>81</v>
      </c>
      <c r="C44" s="20">
        <f>+B19+B20</f>
        <v>151.22585383540002</v>
      </c>
      <c r="E44" s="6">
        <v>0.59</v>
      </c>
      <c r="F44" s="6">
        <v>0.35</v>
      </c>
      <c r="G44" s="6">
        <v>0.25</v>
      </c>
      <c r="H44" s="7">
        <f>$B44*$C44*E44*12</f>
        <v>86725.002657525198</v>
      </c>
      <c r="I44" s="7">
        <f>$B44*$C44*F44*12</f>
        <v>51447.03547480308</v>
      </c>
      <c r="J44" s="7">
        <f t="shared" si="6"/>
        <v>36747.882482002206</v>
      </c>
      <c r="L44" s="14">
        <f t="shared" ref="L44" si="9">+B$18</f>
        <v>60.783337500000002</v>
      </c>
      <c r="M44" s="6">
        <v>0.18</v>
      </c>
      <c r="N44" s="6">
        <v>0.13</v>
      </c>
      <c r="O44" s="7">
        <f t="shared" si="8"/>
        <v>10634.652728999998</v>
      </c>
      <c r="P44" s="7">
        <f t="shared" si="8"/>
        <v>7680.5825265000003</v>
      </c>
      <c r="R44" s="4"/>
    </row>
    <row r="45" spans="1:18" x14ac:dyDescent="0.2">
      <c r="A45" t="str">
        <f>+A30</f>
        <v>SE + high flow + portable liquid¹</v>
      </c>
      <c r="B45" s="5">
        <f t="shared" si="7"/>
        <v>1</v>
      </c>
      <c r="C45" s="21">
        <f>+IF((B$19*1.5 &gt;B$19+B$17),B$19*1.5,B$19+B$17)</f>
        <v>163.6945970031</v>
      </c>
      <c r="E45" s="6">
        <v>0.59</v>
      </c>
      <c r="F45" s="6">
        <v>0.35</v>
      </c>
      <c r="G45" s="6">
        <v>0.25</v>
      </c>
      <c r="H45" s="7">
        <f t="shared" ref="H45:I49" si="10">$B45*$C45*E45*12</f>
        <v>1158.9577467819479</v>
      </c>
      <c r="I45" s="7">
        <f t="shared" si="10"/>
        <v>687.51730741301992</v>
      </c>
      <c r="J45" s="7">
        <f t="shared" si="6"/>
        <v>491.0837910093</v>
      </c>
      <c r="L45" s="14">
        <f>+B18*1.5</f>
        <v>91.175006249999996</v>
      </c>
      <c r="M45" s="6">
        <v>0.18</v>
      </c>
      <c r="N45" s="6">
        <v>0.13</v>
      </c>
      <c r="O45" s="7">
        <f t="shared" si="8"/>
        <v>196.93801349999995</v>
      </c>
      <c r="P45" s="7">
        <f t="shared" si="8"/>
        <v>142.23300974999998</v>
      </c>
      <c r="R45" s="4"/>
    </row>
    <row r="46" spans="1:18" x14ac:dyDescent="0.2">
      <c r="A46" t="str">
        <f>+A31</f>
        <v>SE + OGPE</v>
      </c>
      <c r="B46" s="5">
        <f t="shared" si="7"/>
        <v>2519</v>
      </c>
      <c r="C46" s="20">
        <f>+B19+B20</f>
        <v>151.22585383540002</v>
      </c>
      <c r="E46" s="6">
        <v>0.59</v>
      </c>
      <c r="F46" s="6">
        <v>0.35</v>
      </c>
      <c r="G46" s="6">
        <v>0.25</v>
      </c>
      <c r="H46" s="7">
        <f t="shared" si="10"/>
        <v>2697040.5147445183</v>
      </c>
      <c r="I46" s="7">
        <f t="shared" si="10"/>
        <v>1599939.2884077649</v>
      </c>
      <c r="J46" s="7">
        <f t="shared" si="6"/>
        <v>1142813.7774341179</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163.6945970031</v>
      </c>
      <c r="E47" s="6">
        <v>0.59</v>
      </c>
      <c r="F47" s="6">
        <v>0.35</v>
      </c>
      <c r="G47" s="6">
        <v>0.25</v>
      </c>
      <c r="H47" s="7">
        <f t="shared" si="10"/>
        <v>17384.366201729219</v>
      </c>
      <c r="I47" s="7">
        <f t="shared" si="10"/>
        <v>10312.759611195299</v>
      </c>
      <c r="J47" s="7">
        <f t="shared" si="6"/>
        <v>7366.2568651394995</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21.276120313361179</v>
      </c>
      <c r="E48" s="6">
        <v>0.59</v>
      </c>
      <c r="F48" s="6">
        <v>0.35</v>
      </c>
      <c r="G48" s="6">
        <v>0.25</v>
      </c>
      <c r="H48" s="7">
        <f t="shared" si="10"/>
        <v>78330.164545670501</v>
      </c>
      <c r="I48" s="7">
        <f t="shared" si="10"/>
        <v>46467.046764380808</v>
      </c>
      <c r="J48" s="7">
        <f t="shared" si="6"/>
        <v>33190.747688843439</v>
      </c>
      <c r="L48" s="14">
        <f>+B18</f>
        <v>60.783337500000002</v>
      </c>
      <c r="M48" s="6">
        <v>0.18</v>
      </c>
      <c r="N48" s="6">
        <v>0.13</v>
      </c>
      <c r="O48" s="7">
        <f t="shared" si="8"/>
        <v>68271.844679999995</v>
      </c>
      <c r="P48" s="7">
        <f t="shared" si="8"/>
        <v>49307.443379999997</v>
      </c>
      <c r="R48" s="4"/>
    </row>
    <row r="49" spans="1:18" x14ac:dyDescent="0.2">
      <c r="A49" t="str">
        <f t="shared" si="11"/>
        <v>transfill only</v>
      </c>
      <c r="B49" s="5">
        <f t="shared" si="7"/>
        <v>196</v>
      </c>
      <c r="C49" s="20">
        <f>+B20</f>
        <v>42.096122500000007</v>
      </c>
      <c r="E49" s="6">
        <v>0.59</v>
      </c>
      <c r="F49" s="6">
        <v>0.35</v>
      </c>
      <c r="G49" s="6">
        <v>0.25</v>
      </c>
      <c r="H49" s="7">
        <f t="shared" si="10"/>
        <v>58415.94727080001</v>
      </c>
      <c r="I49" s="7">
        <f t="shared" si="10"/>
        <v>34653.528042000005</v>
      </c>
      <c r="J49" s="7">
        <f t="shared" si="6"/>
        <v>24752.520030000007</v>
      </c>
      <c r="L49" s="14">
        <v>0</v>
      </c>
      <c r="M49" s="6">
        <v>0.18</v>
      </c>
      <c r="N49" s="6">
        <v>0.13</v>
      </c>
      <c r="O49" s="7">
        <f t="shared" si="8"/>
        <v>0</v>
      </c>
      <c r="P49" s="7">
        <f t="shared" si="8"/>
        <v>0</v>
      </c>
      <c r="R49" s="4"/>
    </row>
    <row r="50" spans="1:18" x14ac:dyDescent="0.2">
      <c r="A50" t="str">
        <f>+A35</f>
        <v>Total</v>
      </c>
      <c r="B50" s="8">
        <v>16386</v>
      </c>
      <c r="H50" s="4">
        <f>+SUM(H40:H49)</f>
        <v>14622367.234687207</v>
      </c>
      <c r="I50" s="4">
        <f t="shared" ref="I50:J50" si="12">+SUM(I40:I49)</f>
        <v>8776164.7256950196</v>
      </c>
      <c r="J50" s="4">
        <f t="shared" si="12"/>
        <v>6298995.9751701597</v>
      </c>
      <c r="O50" s="4">
        <f t="shared" ref="O50:P50" si="13">+SUM(O40:O49)</f>
        <v>1078498.2079304999</v>
      </c>
      <c r="P50" s="4">
        <f t="shared" si="13"/>
        <v>778915.37239425001</v>
      </c>
      <c r="Q50" s="4">
        <f>SUM(H50:P50)</f>
        <v>31554941.515877139</v>
      </c>
    </row>
    <row r="51" spans="1:18" ht="13.5" thickBot="1" x14ac:dyDescent="0.25">
      <c r="B51" s="11"/>
      <c r="C51" s="24"/>
      <c r="I51" s="4" t="s">
        <v>7</v>
      </c>
      <c r="Q51" s="4">
        <f>Q50-Q35</f>
        <v>2025982.1347172149</v>
      </c>
      <c r="R51">
        <f>+Q51/Q35</f>
        <v>6.8610007842329609E-2</v>
      </c>
    </row>
    <row r="52" spans="1:18" ht="14.25" thickTop="1" thickBot="1" x14ac:dyDescent="0.25">
      <c r="A52" s="11"/>
      <c r="I52" s="13" t="s">
        <v>7</v>
      </c>
      <c r="O52" s="39" t="s">
        <v>20</v>
      </c>
      <c r="P52" s="40"/>
      <c r="Q52" s="51">
        <v>6.4249000000000001E-2</v>
      </c>
    </row>
    <row r="53" spans="1:18" ht="13.5" thickTop="1" x14ac:dyDescent="0.2">
      <c r="A53" s="3" t="s">
        <v>93</v>
      </c>
      <c r="Q53" s="38" t="s">
        <v>7</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102.12</v>
      </c>
      <c r="E57" s="6">
        <v>0.65</v>
      </c>
      <c r="F57" s="6">
        <v>0.4</v>
      </c>
      <c r="G57" s="6">
        <v>0.28999999999999998</v>
      </c>
      <c r="H57" s="7">
        <f>$B57*$C57*E57*12</f>
        <v>4301294.4000000004</v>
      </c>
      <c r="I57" s="7">
        <f>$B57*$C57*F57*12</f>
        <v>2646950.4000000004</v>
      </c>
      <c r="J57" s="7">
        <f>$B57*$C57*G57*12</f>
        <v>1919039.0399999998</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153.18</v>
      </c>
      <c r="E58" s="6">
        <v>0.59</v>
      </c>
      <c r="F58" s="6">
        <v>0.35</v>
      </c>
      <c r="G58" s="6">
        <v>0.25</v>
      </c>
      <c r="H58" s="7">
        <f t="shared" ref="H58:I60" si="18">$B58*$C58*E58*12</f>
        <v>45549.604800000001</v>
      </c>
      <c r="I58" s="7">
        <f t="shared" si="18"/>
        <v>27020.952000000001</v>
      </c>
      <c r="J58" s="7">
        <f>$B58*$C58*G58*12</f>
        <v>19300.68</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122.03</v>
      </c>
      <c r="E59" s="6">
        <v>0.59</v>
      </c>
      <c r="F59" s="6">
        <v>0.35</v>
      </c>
      <c r="G59" s="6">
        <v>0.25</v>
      </c>
      <c r="H59" s="7">
        <f t="shared" si="18"/>
        <v>6539407.0955999997</v>
      </c>
      <c r="I59" s="7">
        <f t="shared" si="18"/>
        <v>3879309.2939999998</v>
      </c>
      <c r="J59" s="7">
        <f>$B59*$C59*G59*12</f>
        <v>2770935.21</v>
      </c>
      <c r="L59" s="55">
        <f t="shared" si="16"/>
        <v>56.878068848962499</v>
      </c>
      <c r="M59" s="6">
        <v>0.18</v>
      </c>
      <c r="N59" s="6">
        <v>0.13</v>
      </c>
      <c r="O59" s="7">
        <f t="shared" si="19"/>
        <v>929901.82273444184</v>
      </c>
      <c r="P59" s="7">
        <f t="shared" si="19"/>
        <v>671595.76086376351</v>
      </c>
    </row>
    <row r="60" spans="1:18" x14ac:dyDescent="0.2">
      <c r="A60" t="str">
        <f t="shared" si="15"/>
        <v>SE + high flow + portable gas¹</v>
      </c>
      <c r="B60">
        <f t="shared" si="14"/>
        <v>43</v>
      </c>
      <c r="C60" s="28">
        <f t="shared" si="17"/>
        <v>153.18</v>
      </c>
      <c r="E60" s="6">
        <v>0.59</v>
      </c>
      <c r="F60" s="6">
        <v>0.35</v>
      </c>
      <c r="G60" s="6">
        <v>0.25</v>
      </c>
      <c r="H60" s="7">
        <f t="shared" si="18"/>
        <v>46634.119200000001</v>
      </c>
      <c r="I60" s="7">
        <f t="shared" si="18"/>
        <v>27664.307999999997</v>
      </c>
      <c r="J60" s="7">
        <f>$B60*$C60*G60*12</f>
        <v>19760.22</v>
      </c>
      <c r="L60" s="55">
        <f t="shared" si="16"/>
        <v>56.878068848962499</v>
      </c>
      <c r="M60" s="6">
        <v>0.18</v>
      </c>
      <c r="N60" s="6">
        <v>0.13</v>
      </c>
      <c r="O60" s="7">
        <f t="shared" si="19"/>
        <v>5282.8350346916368</v>
      </c>
      <c r="P60" s="7">
        <f t="shared" si="19"/>
        <v>3815.3808583884042</v>
      </c>
    </row>
    <row r="61" spans="1:18" x14ac:dyDescent="0.2">
      <c r="A61" t="str">
        <f t="shared" si="15"/>
        <v>SE + portable liquid</v>
      </c>
      <c r="B61">
        <f t="shared" si="14"/>
        <v>81</v>
      </c>
      <c r="C61" s="28">
        <f t="shared" si="17"/>
        <v>141.51</v>
      </c>
      <c r="E61" s="6">
        <v>0.59</v>
      </c>
      <c r="F61" s="6">
        <v>0.35</v>
      </c>
      <c r="G61" s="6">
        <v>0.25</v>
      </c>
      <c r="H61" s="7">
        <f>$B61*$C61*E61*12</f>
        <v>81153.154799999989</v>
      </c>
      <c r="I61" s="7">
        <f>$B61*$C61*F61*12</f>
        <v>48141.701999999997</v>
      </c>
      <c r="J61" s="7">
        <f>$B61*$C61*G61*12</f>
        <v>34386.93</v>
      </c>
      <c r="L61" s="55">
        <f t="shared" si="16"/>
        <v>56.878068848962499</v>
      </c>
      <c r="M61" s="6">
        <v>0.18</v>
      </c>
      <c r="N61" s="6">
        <v>0.13</v>
      </c>
      <c r="O61" s="7">
        <f t="shared" si="19"/>
        <v>9951.3869258144787</v>
      </c>
      <c r="P61" s="7">
        <f t="shared" si="19"/>
        <v>7187.1127797549016</v>
      </c>
    </row>
    <row r="62" spans="1:18" x14ac:dyDescent="0.2">
      <c r="A62" t="str">
        <f t="shared" si="15"/>
        <v>SE + high flow + portable liquid¹</v>
      </c>
      <c r="B62">
        <f>+B45</f>
        <v>1</v>
      </c>
      <c r="C62" s="28">
        <f t="shared" si="17"/>
        <v>153.18</v>
      </c>
      <c r="E62" s="6">
        <v>0.59</v>
      </c>
      <c r="F62" s="6">
        <v>0.35</v>
      </c>
      <c r="G62" s="6">
        <v>0.25</v>
      </c>
      <c r="H62" s="7">
        <f>$B62*$C62*E62*12</f>
        <v>1084.5144</v>
      </c>
      <c r="I62" s="7">
        <f>$B62*$C62*F62*12</f>
        <v>643.35599999999999</v>
      </c>
      <c r="J62" s="7">
        <f>$B62*$C62*G62*12</f>
        <v>459.54</v>
      </c>
      <c r="L62" s="55">
        <f t="shared" si="16"/>
        <v>85.317103273443749</v>
      </c>
      <c r="M62" s="6">
        <v>0.18</v>
      </c>
      <c r="N62" s="6">
        <v>0.13</v>
      </c>
      <c r="O62" s="7">
        <f t="shared" si="19"/>
        <v>184.28494307063849</v>
      </c>
      <c r="P62" s="7">
        <f t="shared" si="19"/>
        <v>133.09468110657224</v>
      </c>
    </row>
    <row r="63" spans="1:18" x14ac:dyDescent="0.2">
      <c r="A63" t="str">
        <f t="shared" si="15"/>
        <v>SE + OGPE</v>
      </c>
      <c r="B63">
        <f>+B46</f>
        <v>2519</v>
      </c>
      <c r="C63" s="28">
        <f t="shared" si="17"/>
        <v>141.51</v>
      </c>
      <c r="E63" s="6">
        <v>0.59</v>
      </c>
      <c r="F63" s="6">
        <v>0.35</v>
      </c>
      <c r="G63" s="6">
        <v>0.25</v>
      </c>
      <c r="H63" s="7">
        <f t="shared" ref="H63:J66" si="20">$B63*$C63*E63*12</f>
        <v>2523762.9251999999</v>
      </c>
      <c r="I63" s="7">
        <f t="shared" si="20"/>
        <v>1497147.4979999999</v>
      </c>
      <c r="J63" s="7">
        <f t="shared" si="20"/>
        <v>1069391.07</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153.18</v>
      </c>
      <c r="E64" s="6">
        <v>0.59</v>
      </c>
      <c r="F64" s="6">
        <v>0.35</v>
      </c>
      <c r="G64" s="6">
        <v>0.25</v>
      </c>
      <c r="H64" s="7">
        <f t="shared" si="20"/>
        <v>16267.716</v>
      </c>
      <c r="I64" s="7">
        <f t="shared" si="20"/>
        <v>9650.34</v>
      </c>
      <c r="J64" s="7">
        <f t="shared" si="20"/>
        <v>6893.1</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19.91</v>
      </c>
      <c r="E65" s="6">
        <v>0.59</v>
      </c>
      <c r="F65" s="6">
        <v>0.35</v>
      </c>
      <c r="G65" s="6">
        <v>0.25</v>
      </c>
      <c r="H65" s="7">
        <f t="shared" si="20"/>
        <v>73300.656000000003</v>
      </c>
      <c r="I65" s="7">
        <f t="shared" si="20"/>
        <v>43483.44</v>
      </c>
      <c r="J65" s="7">
        <f t="shared" si="20"/>
        <v>31059.600000000002</v>
      </c>
      <c r="L65" s="55">
        <f t="shared" si="16"/>
        <v>56.878068848962499</v>
      </c>
      <c r="M65" s="6">
        <v>0.18</v>
      </c>
      <c r="N65" s="6">
        <v>0.13</v>
      </c>
      <c r="O65" s="7">
        <f t="shared" si="19"/>
        <v>63885.446931154678</v>
      </c>
      <c r="P65" s="7">
        <f t="shared" si="19"/>
        <v>46139.489450278379</v>
      </c>
      <c r="Q65" s="4"/>
    </row>
    <row r="66" spans="1:17" x14ac:dyDescent="0.2">
      <c r="A66" t="str">
        <f t="shared" si="15"/>
        <v>transfill only</v>
      </c>
      <c r="B66">
        <f>+B49</f>
        <v>196</v>
      </c>
      <c r="C66" s="28">
        <f t="shared" si="17"/>
        <v>39.39</v>
      </c>
      <c r="E66" s="6">
        <v>0.59</v>
      </c>
      <c r="F66" s="6">
        <v>0.35</v>
      </c>
      <c r="G66" s="6">
        <v>0.25</v>
      </c>
      <c r="H66" s="7">
        <f t="shared" si="20"/>
        <v>54660.715200000006</v>
      </c>
      <c r="I66" s="7">
        <f t="shared" si="20"/>
        <v>32425.847999999998</v>
      </c>
      <c r="J66" s="7">
        <f t="shared" si="20"/>
        <v>23161.32</v>
      </c>
      <c r="L66" s="55">
        <f t="shared" si="16"/>
        <v>0</v>
      </c>
      <c r="M66" s="6">
        <v>0.18</v>
      </c>
      <c r="N66" s="6">
        <v>0.13</v>
      </c>
      <c r="O66" s="7">
        <f t="shared" si="19"/>
        <v>0</v>
      </c>
      <c r="P66" s="7">
        <f t="shared" si="19"/>
        <v>0</v>
      </c>
      <c r="Q66" s="4"/>
    </row>
    <row r="67" spans="1:17" x14ac:dyDescent="0.2">
      <c r="A67" s="38" t="s">
        <v>7</v>
      </c>
      <c r="B67" s="8">
        <f>+SUM(B57:B66)</f>
        <v>16386</v>
      </c>
      <c r="H67" s="4">
        <f>SUM(H57:H66)</f>
        <v>13683114.9012</v>
      </c>
      <c r="I67" s="4">
        <f t="shared" ref="I67:J67" si="21">SUM(I57:I66)</f>
        <v>8212437.1379999993</v>
      </c>
      <c r="J67" s="4">
        <f t="shared" si="21"/>
        <v>5894386.709999999</v>
      </c>
      <c r="O67" s="4">
        <f t="shared" ref="O67:P67" si="22">SUM(O57:O66)</f>
        <v>1009205.7765691732</v>
      </c>
      <c r="P67" s="4">
        <f t="shared" si="22"/>
        <v>728870.83863329177</v>
      </c>
      <c r="Q67" s="4">
        <f>SUM(H67:P67)</f>
        <v>29528015.364402466</v>
      </c>
    </row>
    <row r="68" spans="1:17" x14ac:dyDescent="0.2">
      <c r="Q68" s="13">
        <f>+Q67/Q35</f>
        <v>0.99996803081526597</v>
      </c>
    </row>
  </sheetData>
  <mergeCells count="4">
    <mergeCell ref="A1:R1"/>
    <mergeCell ref="F17:H17"/>
    <mergeCell ref="F18:G18"/>
    <mergeCell ref="F19:G19"/>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8" workbookViewId="0">
      <selection activeCell="Q53" sqref="Q53"/>
    </sheetView>
  </sheetViews>
  <sheetFormatPr defaultRowHeight="12.75" x14ac:dyDescent="0.2"/>
  <cols>
    <col min="8" max="8" width="12.140625" customWidth="1"/>
    <col min="9" max="9" width="11.140625" customWidth="1"/>
    <col min="10" max="10" width="11.7109375" customWidth="1"/>
    <col min="15" max="15" width="13.5703125" customWidth="1"/>
    <col min="16" max="16" width="12.42578125" customWidth="1"/>
    <col min="17" max="17" width="12.8554687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21.59612031336118</v>
      </c>
      <c r="C17" s="22"/>
      <c r="D17" s="22"/>
      <c r="E17" s="22"/>
      <c r="F17" s="136" t="s">
        <v>58</v>
      </c>
      <c r="G17" s="137"/>
      <c r="H17" s="138"/>
      <c r="I17" s="19"/>
      <c r="J17" s="19"/>
      <c r="K17" s="19"/>
      <c r="L17" s="19"/>
      <c r="M17" s="19"/>
      <c r="N17" s="19"/>
      <c r="O17" s="19"/>
      <c r="P17" s="19"/>
      <c r="Q17" s="19"/>
      <c r="R17" s="18"/>
    </row>
    <row r="18" spans="1:18" x14ac:dyDescent="0.2">
      <c r="A18" s="42" t="s">
        <v>46</v>
      </c>
      <c r="B18" s="48">
        <v>61.746837499999998</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110.28673133539999</v>
      </c>
      <c r="C19" s="22"/>
      <c r="D19" s="22"/>
      <c r="E19" s="22"/>
      <c r="F19" s="141" t="s">
        <v>59</v>
      </c>
      <c r="G19" s="142"/>
      <c r="H19" s="54">
        <v>20.77</v>
      </c>
      <c r="I19" s="19"/>
      <c r="J19" s="19"/>
      <c r="K19" s="19"/>
      <c r="L19" s="19"/>
      <c r="M19" s="19"/>
      <c r="N19" s="19"/>
      <c r="O19" s="19"/>
      <c r="P19" s="19"/>
      <c r="Q19" s="19"/>
      <c r="R19" s="18"/>
    </row>
    <row r="20" spans="1:18" x14ac:dyDescent="0.2">
      <c r="A20" s="42" t="s">
        <v>29</v>
      </c>
      <c r="B20" s="48">
        <v>43.476622500000005</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110.28673133539999</v>
      </c>
      <c r="D25" s="7"/>
      <c r="E25" s="6">
        <v>0.65</v>
      </c>
      <c r="F25" s="6">
        <v>0.4</v>
      </c>
      <c r="G25" s="6">
        <v>0.28999999999999998</v>
      </c>
      <c r="H25" s="7">
        <f t="shared" ref="H25:J34" si="0">$B25*$C25*E25*12</f>
        <v>4645277.1238470478</v>
      </c>
      <c r="I25" s="7">
        <f t="shared" si="0"/>
        <v>2858632.076213568</v>
      </c>
      <c r="J25" s="7">
        <f t="shared" si="0"/>
        <v>2072508.2552548368</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165.4300970031</v>
      </c>
      <c r="D26" s="7"/>
      <c r="E26" s="6">
        <v>0.59</v>
      </c>
      <c r="F26" s="6">
        <v>0.35</v>
      </c>
      <c r="G26" s="6">
        <v>0.25</v>
      </c>
      <c r="H26" s="7">
        <f t="shared" si="0"/>
        <v>49192.293644841819</v>
      </c>
      <c r="I26" s="7">
        <f t="shared" si="0"/>
        <v>29181.869111346841</v>
      </c>
      <c r="J26" s="7">
        <f t="shared" si="0"/>
        <v>20844.1922223906</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131.88285164876118</v>
      </c>
      <c r="D27" s="7"/>
      <c r="E27" s="6">
        <v>0.59</v>
      </c>
      <c r="F27" s="6">
        <v>0.35</v>
      </c>
      <c r="G27" s="6">
        <v>0.25</v>
      </c>
      <c r="H27" s="7">
        <f t="shared" si="0"/>
        <v>7067406.8332366711</v>
      </c>
      <c r="I27" s="7">
        <f t="shared" si="0"/>
        <v>4192529.4773437874</v>
      </c>
      <c r="J27" s="7">
        <f t="shared" si="0"/>
        <v>2994663.9123884197</v>
      </c>
      <c r="L27" s="14">
        <f>+B$18*2*H$19/H$18</f>
        <v>16.558835569722397</v>
      </c>
      <c r="M27" s="6">
        <v>0.18</v>
      </c>
      <c r="N27" s="6">
        <v>0.13</v>
      </c>
      <c r="O27" s="7">
        <f t="shared" si="2"/>
        <v>270721.06508281425</v>
      </c>
      <c r="P27" s="7">
        <f t="shared" si="2"/>
        <v>195520.76922647699</v>
      </c>
    </row>
    <row r="28" spans="1:18" x14ac:dyDescent="0.2">
      <c r="A28" t="str">
        <f t="shared" si="1"/>
        <v>SE + high flow + portable gas¹</v>
      </c>
      <c r="B28" s="49">
        <f t="shared" si="1"/>
        <v>43</v>
      </c>
      <c r="C28" s="21">
        <f>+IF((B$19*1.5 &gt;B$19+B$17),B$19*1.5,B$19+B$17)</f>
        <v>165.4300970031</v>
      </c>
      <c r="D28" s="7"/>
      <c r="E28" s="6">
        <v>0.59</v>
      </c>
      <c r="F28" s="6">
        <v>0.35</v>
      </c>
      <c r="G28" s="6">
        <v>0.25</v>
      </c>
      <c r="H28" s="7">
        <f t="shared" si="0"/>
        <v>50363.538731623761</v>
      </c>
      <c r="I28" s="7">
        <f t="shared" si="0"/>
        <v>29876.675518759861</v>
      </c>
      <c r="J28" s="7">
        <f t="shared" si="0"/>
        <v>21340.4825133999</v>
      </c>
      <c r="L28" s="14">
        <f>+B$18*2*H$19/H$18</f>
        <v>16.558835569722397</v>
      </c>
      <c r="M28" s="6">
        <v>0.18</v>
      </c>
      <c r="N28" s="6">
        <v>0.13</v>
      </c>
      <c r="O28" s="7">
        <f t="shared" si="2"/>
        <v>1537.9846477158162</v>
      </c>
      <c r="P28" s="7">
        <f t="shared" si="2"/>
        <v>1110.7666900169784</v>
      </c>
    </row>
    <row r="29" spans="1:18" x14ac:dyDescent="0.2">
      <c r="A29" t="str">
        <f t="shared" si="1"/>
        <v>SE + portable liquid</v>
      </c>
      <c r="B29" s="49">
        <f t="shared" si="1"/>
        <v>81</v>
      </c>
      <c r="C29" s="20">
        <f>+B19+B17</f>
        <v>131.88285164876118</v>
      </c>
      <c r="D29" s="7"/>
      <c r="E29" s="6">
        <v>0.59</v>
      </c>
      <c r="F29" s="6">
        <v>0.35</v>
      </c>
      <c r="G29" s="6">
        <v>0.25</v>
      </c>
      <c r="H29" s="7">
        <f t="shared" si="0"/>
        <v>75632.177763531552</v>
      </c>
      <c r="I29" s="7">
        <f t="shared" si="0"/>
        <v>44866.546130908544</v>
      </c>
      <c r="J29" s="7">
        <f t="shared" si="0"/>
        <v>32047.532950648965</v>
      </c>
      <c r="L29" s="14">
        <f>+B$18*2*H$19/H$18</f>
        <v>16.558835569722397</v>
      </c>
      <c r="M29" s="6">
        <v>0.18</v>
      </c>
      <c r="N29" s="6">
        <v>0.13</v>
      </c>
      <c r="O29" s="7">
        <f t="shared" si="2"/>
        <v>2897.1338712786305</v>
      </c>
      <c r="P29" s="7">
        <f t="shared" si="2"/>
        <v>2092.3744625901222</v>
      </c>
      <c r="R29" s="4"/>
    </row>
    <row r="30" spans="1:18" x14ac:dyDescent="0.2">
      <c r="A30" t="str">
        <f t="shared" si="1"/>
        <v>SE + high flow + portable liquid¹</v>
      </c>
      <c r="B30" s="49">
        <f t="shared" si="1"/>
        <v>1</v>
      </c>
      <c r="C30" s="21">
        <f>+IF((B$19*1.5 &gt;B$19+B$17),B$19*1.5,B$19+B$17)</f>
        <v>165.4300970031</v>
      </c>
      <c r="D30" s="7"/>
      <c r="E30" s="6">
        <v>0.59</v>
      </c>
      <c r="F30" s="6">
        <v>0.35</v>
      </c>
      <c r="G30" s="6">
        <v>0.25</v>
      </c>
      <c r="H30" s="7">
        <f t="shared" si="0"/>
        <v>1171.245086781948</v>
      </c>
      <c r="I30" s="7">
        <f t="shared" si="0"/>
        <v>694.80640741302</v>
      </c>
      <c r="J30" s="7">
        <f t="shared" si="0"/>
        <v>496.29029100930001</v>
      </c>
      <c r="L30" s="14">
        <f>+B$18*2*H$19/H$18</f>
        <v>16.558835569722397</v>
      </c>
      <c r="M30" s="6">
        <v>0.18</v>
      </c>
      <c r="N30" s="6">
        <v>0.13</v>
      </c>
      <c r="O30" s="7">
        <f t="shared" si="2"/>
        <v>35.767084830600375</v>
      </c>
      <c r="P30" s="7">
        <f t="shared" si="2"/>
        <v>25.831783488766941</v>
      </c>
      <c r="R30" s="4"/>
    </row>
    <row r="31" spans="1:18" x14ac:dyDescent="0.2">
      <c r="A31" t="str">
        <f t="shared" si="1"/>
        <v>SE + OGPE</v>
      </c>
      <c r="B31" s="49">
        <f t="shared" si="1"/>
        <v>2519</v>
      </c>
      <c r="C31" s="20">
        <f>+B19+B17</f>
        <v>131.88285164876118</v>
      </c>
      <c r="D31" s="7"/>
      <c r="E31" s="6">
        <v>0.59</v>
      </c>
      <c r="F31" s="6">
        <v>0.35</v>
      </c>
      <c r="G31" s="6">
        <v>0.25</v>
      </c>
      <c r="H31" s="7">
        <f t="shared" si="0"/>
        <v>2352067.3553868644</v>
      </c>
      <c r="I31" s="7">
        <f t="shared" si="0"/>
        <v>1395294.1938735635</v>
      </c>
      <c r="J31" s="7">
        <f t="shared" si="0"/>
        <v>996638.70990968822</v>
      </c>
      <c r="L31" s="14">
        <f>+B$18*2*H$19/H$18</f>
        <v>16.558835569722397</v>
      </c>
      <c r="M31" s="6">
        <v>0.18</v>
      </c>
      <c r="N31" s="6">
        <v>0.13</v>
      </c>
      <c r="O31" s="7">
        <f t="shared" si="2"/>
        <v>90097.286688282344</v>
      </c>
      <c r="P31" s="7">
        <f t="shared" si="2"/>
        <v>65070.262608203928</v>
      </c>
      <c r="R31" s="4"/>
    </row>
    <row r="32" spans="1:18" x14ac:dyDescent="0.2">
      <c r="A32" t="str">
        <f t="shared" si="1"/>
        <v>SE + high flow + OGPE¹</v>
      </c>
      <c r="B32" s="49">
        <f t="shared" si="1"/>
        <v>15</v>
      </c>
      <c r="C32" s="21">
        <f>+IF((B$19*1.5 &gt;B$19+B$17),B$19*1.5,B$19+B$17)</f>
        <v>165.4300970031</v>
      </c>
      <c r="D32" s="7"/>
      <c r="E32" s="6">
        <v>0.59</v>
      </c>
      <c r="F32" s="6">
        <v>0.35</v>
      </c>
      <c r="G32" s="6">
        <v>0.25</v>
      </c>
      <c r="H32" s="7">
        <f t="shared" si="0"/>
        <v>17568.676301729218</v>
      </c>
      <c r="I32" s="7">
        <f t="shared" si="0"/>
        <v>10422.0961111953</v>
      </c>
      <c r="J32" s="7">
        <f t="shared" si="0"/>
        <v>7444.3543651395003</v>
      </c>
      <c r="L32" s="14">
        <v>0</v>
      </c>
      <c r="M32" s="6">
        <v>0.18</v>
      </c>
      <c r="N32" s="6">
        <v>0.13</v>
      </c>
      <c r="O32" s="7">
        <f t="shared" si="2"/>
        <v>0</v>
      </c>
      <c r="P32" s="7">
        <f t="shared" si="2"/>
        <v>0</v>
      </c>
      <c r="R32" s="4"/>
    </row>
    <row r="33" spans="1:18" x14ac:dyDescent="0.2">
      <c r="A33" t="str">
        <f t="shared" si="1"/>
        <v>portable gas or liquid only</v>
      </c>
      <c r="B33" s="49">
        <f t="shared" si="1"/>
        <v>520</v>
      </c>
      <c r="C33" s="20">
        <f>+B17</f>
        <v>21.59612031336118</v>
      </c>
      <c r="D33" s="7"/>
      <c r="E33" s="6">
        <v>0.59</v>
      </c>
      <c r="F33" s="6">
        <v>0.35</v>
      </c>
      <c r="G33" s="6">
        <v>0.25</v>
      </c>
      <c r="H33" s="7">
        <f t="shared" si="0"/>
        <v>79508.276545670509</v>
      </c>
      <c r="I33" s="7">
        <f t="shared" si="0"/>
        <v>47165.926764380813</v>
      </c>
      <c r="J33" s="7">
        <f t="shared" si="0"/>
        <v>33689.947688843436</v>
      </c>
      <c r="L33" s="14">
        <f>+B$18*2*H$19/H$18</f>
        <v>16.558835569722397</v>
      </c>
      <c r="M33" s="6">
        <v>0.18</v>
      </c>
      <c r="N33" s="6">
        <v>0.13</v>
      </c>
      <c r="O33" s="7">
        <f t="shared" si="2"/>
        <v>18598.884111912193</v>
      </c>
      <c r="P33" s="7">
        <f t="shared" si="2"/>
        <v>13432.527414158809</v>
      </c>
      <c r="R33" s="4"/>
    </row>
    <row r="34" spans="1:18" x14ac:dyDescent="0.2">
      <c r="A34" t="str">
        <f t="shared" si="1"/>
        <v>transfill only</v>
      </c>
      <c r="B34" s="49">
        <f t="shared" si="1"/>
        <v>196</v>
      </c>
      <c r="C34" s="20">
        <f>+B17</f>
        <v>21.59612031336118</v>
      </c>
      <c r="D34" s="7"/>
      <c r="E34" s="6">
        <v>0.59</v>
      </c>
      <c r="F34" s="6">
        <v>0.35</v>
      </c>
      <c r="G34" s="6">
        <v>0.25</v>
      </c>
      <c r="H34" s="7">
        <f t="shared" si="0"/>
        <v>29968.504236445042</v>
      </c>
      <c r="I34" s="7">
        <f t="shared" si="0"/>
        <v>17777.926241958925</v>
      </c>
      <c r="J34" s="7">
        <f t="shared" si="0"/>
        <v>12698.518744256375</v>
      </c>
      <c r="L34" s="14">
        <f>+B$18*2*H$19/H$18</f>
        <v>16.558835569722397</v>
      </c>
      <c r="M34" s="6">
        <v>0.18</v>
      </c>
      <c r="N34" s="6">
        <v>0.13</v>
      </c>
      <c r="O34" s="7">
        <f t="shared" si="2"/>
        <v>7010.3486267976732</v>
      </c>
      <c r="P34" s="7">
        <f t="shared" si="2"/>
        <v>5063.0295637983209</v>
      </c>
      <c r="R34" s="4"/>
    </row>
    <row r="35" spans="1:18" x14ac:dyDescent="0.2">
      <c r="A35" t="s">
        <v>6</v>
      </c>
      <c r="B35" s="8">
        <f>+SUM(B25:B34)</f>
        <v>16386</v>
      </c>
      <c r="H35" s="4">
        <f>+SUM(H25:H34)</f>
        <v>14368156.024781205</v>
      </c>
      <c r="I35" s="4">
        <f t="shared" ref="I35:J35" si="3">+SUM(I25:I34)</f>
        <v>8626441.5937168822</v>
      </c>
      <c r="J35" s="4">
        <f t="shared" si="3"/>
        <v>6192372.1963286325</v>
      </c>
      <c r="L35" s="14" t="s">
        <v>7</v>
      </c>
      <c r="M35" s="6"/>
      <c r="N35" s="6"/>
      <c r="O35" s="4">
        <f t="shared" ref="O35" si="4">+SUM(O25:O34)</f>
        <v>390898.47011363145</v>
      </c>
      <c r="P35" s="4">
        <f t="shared" ref="P35" si="5">+SUM(P25:P34)</f>
        <v>282315.56174873392</v>
      </c>
      <c r="Q35" s="4">
        <f>SUM(H35:P35)</f>
        <v>29860183.846689086</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110.28673133539999</v>
      </c>
      <c r="E40" s="6">
        <v>0.65</v>
      </c>
      <c r="F40" s="6">
        <v>0.4</v>
      </c>
      <c r="G40" s="6">
        <v>0.28999999999999998</v>
      </c>
      <c r="H40" s="7">
        <f t="shared" ref="H40:J49" si="6">$B40*$C40*E40*12</f>
        <v>4645277.1238470478</v>
      </c>
      <c r="I40" s="7">
        <f t="shared" si="6"/>
        <v>2858632.076213568</v>
      </c>
      <c r="J40" s="7">
        <f t="shared" si="6"/>
        <v>2072508.2552548368</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165.4300970031</v>
      </c>
      <c r="E41" s="6">
        <v>0.59</v>
      </c>
      <c r="F41" s="6">
        <v>0.35</v>
      </c>
      <c r="G41" s="6">
        <v>0.25</v>
      </c>
      <c r="H41" s="7">
        <f t="shared" si="6"/>
        <v>49192.293644841819</v>
      </c>
      <c r="I41" s="7">
        <f t="shared" si="6"/>
        <v>29181.869111346841</v>
      </c>
      <c r="J41" s="7">
        <f t="shared" si="6"/>
        <v>20844.1922223906</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131.88285164876118</v>
      </c>
      <c r="E42" s="6">
        <v>0.59</v>
      </c>
      <c r="F42" s="6">
        <v>0.35</v>
      </c>
      <c r="G42" s="6">
        <v>0.25</v>
      </c>
      <c r="H42" s="7">
        <f t="shared" si="6"/>
        <v>7067406.8332366711</v>
      </c>
      <c r="I42" s="7">
        <f t="shared" si="6"/>
        <v>4192529.4773437874</v>
      </c>
      <c r="J42" s="7">
        <f t="shared" si="6"/>
        <v>2994663.9123884197</v>
      </c>
      <c r="L42" s="14">
        <f>+B$18</f>
        <v>61.746837499999998</v>
      </c>
      <c r="M42" s="6">
        <v>0.18</v>
      </c>
      <c r="N42" s="6">
        <v>0.13</v>
      </c>
      <c r="O42" s="7">
        <f t="shared" si="8"/>
        <v>1009501.5161609999</v>
      </c>
      <c r="P42" s="7">
        <f t="shared" si="8"/>
        <v>729084.42833850009</v>
      </c>
    </row>
    <row r="43" spans="1:18" x14ac:dyDescent="0.2">
      <c r="A43" t="str">
        <f t="shared" si="7"/>
        <v>SE + high flow + portable gas¹</v>
      </c>
      <c r="B43" s="5">
        <f t="shared" si="7"/>
        <v>43</v>
      </c>
      <c r="C43" s="20">
        <f t="shared" si="7"/>
        <v>165.4300970031</v>
      </c>
      <c r="E43" s="6">
        <v>0.59</v>
      </c>
      <c r="F43" s="6">
        <v>0.35</v>
      </c>
      <c r="G43" s="6">
        <v>0.25</v>
      </c>
      <c r="H43" s="7">
        <f t="shared" si="6"/>
        <v>50363.538731623761</v>
      </c>
      <c r="I43" s="7">
        <f t="shared" si="6"/>
        <v>29876.675518759861</v>
      </c>
      <c r="J43" s="7">
        <f t="shared" si="6"/>
        <v>21340.4825133999</v>
      </c>
      <c r="L43" s="14">
        <f>+B$18</f>
        <v>61.746837499999998</v>
      </c>
      <c r="M43" s="6">
        <v>0.18</v>
      </c>
      <c r="N43" s="6">
        <v>0.13</v>
      </c>
      <c r="O43" s="7">
        <f t="shared" si="8"/>
        <v>5735.0462669999997</v>
      </c>
      <c r="P43" s="7">
        <f t="shared" si="8"/>
        <v>4141.9778594999998</v>
      </c>
    </row>
    <row r="44" spans="1:18" x14ac:dyDescent="0.2">
      <c r="A44" t="str">
        <f t="shared" si="7"/>
        <v>SE + portable liquid</v>
      </c>
      <c r="B44" s="5">
        <f t="shared" si="7"/>
        <v>81</v>
      </c>
      <c r="C44" s="20">
        <f>+B19+B20</f>
        <v>153.76335383539998</v>
      </c>
      <c r="E44" s="6">
        <v>0.59</v>
      </c>
      <c r="F44" s="6">
        <v>0.35</v>
      </c>
      <c r="G44" s="6">
        <v>0.25</v>
      </c>
      <c r="H44" s="7">
        <f>$B44*$C44*E44*12</f>
        <v>88180.208157525165</v>
      </c>
      <c r="I44" s="7">
        <f>$B44*$C44*F44*12</f>
        <v>52310.292974803073</v>
      </c>
      <c r="J44" s="7">
        <f t="shared" si="6"/>
        <v>37364.494982002194</v>
      </c>
      <c r="L44" s="14">
        <f t="shared" ref="L44" si="9">+B$18</f>
        <v>61.746837499999998</v>
      </c>
      <c r="M44" s="6">
        <v>0.18</v>
      </c>
      <c r="N44" s="6">
        <v>0.13</v>
      </c>
      <c r="O44" s="7">
        <f t="shared" si="8"/>
        <v>10803.226688999999</v>
      </c>
      <c r="P44" s="7">
        <f t="shared" si="8"/>
        <v>7802.3303865000007</v>
      </c>
      <c r="R44" s="4"/>
    </row>
    <row r="45" spans="1:18" x14ac:dyDescent="0.2">
      <c r="A45" t="str">
        <f>+A30</f>
        <v>SE + high flow + portable liquid¹</v>
      </c>
      <c r="B45" s="5">
        <f t="shared" si="7"/>
        <v>1</v>
      </c>
      <c r="C45" s="21">
        <f>+IF((B$19*1.5 &gt;B$19+B$17),B$19*1.5,B$19+B$17)</f>
        <v>165.4300970031</v>
      </c>
      <c r="E45" s="6">
        <v>0.59</v>
      </c>
      <c r="F45" s="6">
        <v>0.35</v>
      </c>
      <c r="G45" s="6">
        <v>0.25</v>
      </c>
      <c r="H45" s="7">
        <f t="shared" ref="H45:I49" si="10">$B45*$C45*E45*12</f>
        <v>1171.245086781948</v>
      </c>
      <c r="I45" s="7">
        <f t="shared" si="10"/>
        <v>694.80640741302</v>
      </c>
      <c r="J45" s="7">
        <f t="shared" si="6"/>
        <v>496.29029100930001</v>
      </c>
      <c r="L45" s="14">
        <f>+B18*1.5</f>
        <v>92.620256249999997</v>
      </c>
      <c r="M45" s="6">
        <v>0.18</v>
      </c>
      <c r="N45" s="6">
        <v>0.13</v>
      </c>
      <c r="O45" s="7">
        <f t="shared" si="8"/>
        <v>200.05975349999997</v>
      </c>
      <c r="P45" s="7">
        <f t="shared" si="8"/>
        <v>144.48759974999999</v>
      </c>
      <c r="R45" s="4"/>
    </row>
    <row r="46" spans="1:18" x14ac:dyDescent="0.2">
      <c r="A46" t="str">
        <f>+A31</f>
        <v>SE + OGPE</v>
      </c>
      <c r="B46" s="5">
        <f t="shared" si="7"/>
        <v>2519</v>
      </c>
      <c r="C46" s="20">
        <f>+B19+B20</f>
        <v>153.76335383539998</v>
      </c>
      <c r="E46" s="6">
        <v>0.59</v>
      </c>
      <c r="F46" s="6">
        <v>0.35</v>
      </c>
      <c r="G46" s="6">
        <v>0.25</v>
      </c>
      <c r="H46" s="7">
        <f t="shared" si="10"/>
        <v>2742295.6092445175</v>
      </c>
      <c r="I46" s="7">
        <f t="shared" si="10"/>
        <v>1626785.5309077646</v>
      </c>
      <c r="J46" s="7">
        <f t="shared" si="6"/>
        <v>1161989.6649341176</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165.4300970031</v>
      </c>
      <c r="E47" s="6">
        <v>0.59</v>
      </c>
      <c r="F47" s="6">
        <v>0.35</v>
      </c>
      <c r="G47" s="6">
        <v>0.25</v>
      </c>
      <c r="H47" s="7">
        <f t="shared" si="10"/>
        <v>17568.676301729218</v>
      </c>
      <c r="I47" s="7">
        <f t="shared" si="10"/>
        <v>10422.0961111953</v>
      </c>
      <c r="J47" s="7">
        <f t="shared" si="6"/>
        <v>7444.3543651395003</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21.59612031336118</v>
      </c>
      <c r="E48" s="6">
        <v>0.59</v>
      </c>
      <c r="F48" s="6">
        <v>0.35</v>
      </c>
      <c r="G48" s="6">
        <v>0.25</v>
      </c>
      <c r="H48" s="7">
        <f t="shared" si="10"/>
        <v>79508.276545670509</v>
      </c>
      <c r="I48" s="7">
        <f t="shared" si="10"/>
        <v>47165.926764380813</v>
      </c>
      <c r="J48" s="7">
        <f t="shared" si="6"/>
        <v>33689.947688843436</v>
      </c>
      <c r="L48" s="14">
        <f>+B18</f>
        <v>61.746837499999998</v>
      </c>
      <c r="M48" s="6">
        <v>0.18</v>
      </c>
      <c r="N48" s="6">
        <v>0.13</v>
      </c>
      <c r="O48" s="7">
        <f t="shared" si="8"/>
        <v>69354.047879999998</v>
      </c>
      <c r="P48" s="7">
        <f t="shared" si="8"/>
        <v>50089.03458</v>
      </c>
      <c r="R48" s="4"/>
    </row>
    <row r="49" spans="1:18" x14ac:dyDescent="0.2">
      <c r="A49" t="str">
        <f t="shared" si="11"/>
        <v>transfill only</v>
      </c>
      <c r="B49" s="5">
        <f t="shared" si="7"/>
        <v>196</v>
      </c>
      <c r="C49" s="20">
        <f>+B20</f>
        <v>43.476622500000005</v>
      </c>
      <c r="E49" s="6">
        <v>0.59</v>
      </c>
      <c r="F49" s="6">
        <v>0.35</v>
      </c>
      <c r="G49" s="6">
        <v>0.25</v>
      </c>
      <c r="H49" s="7">
        <f t="shared" si="10"/>
        <v>60331.639510800007</v>
      </c>
      <c r="I49" s="7">
        <f t="shared" si="10"/>
        <v>35789.955642000001</v>
      </c>
      <c r="J49" s="7">
        <f t="shared" si="6"/>
        <v>25564.254030000004</v>
      </c>
      <c r="L49" s="14">
        <v>0</v>
      </c>
      <c r="M49" s="6">
        <v>0.18</v>
      </c>
      <c r="N49" s="6">
        <v>0.13</v>
      </c>
      <c r="O49" s="7">
        <f t="shared" si="8"/>
        <v>0</v>
      </c>
      <c r="P49" s="7">
        <f t="shared" si="8"/>
        <v>0</v>
      </c>
      <c r="R49" s="4"/>
    </row>
    <row r="50" spans="1:18" x14ac:dyDescent="0.2">
      <c r="A50" t="str">
        <f>+A35</f>
        <v>Total</v>
      </c>
      <c r="B50" s="8">
        <v>16386</v>
      </c>
      <c r="H50" s="4">
        <f>+SUM(H40:H49)</f>
        <v>14801295.444307206</v>
      </c>
      <c r="I50" s="4">
        <f t="shared" ref="I50:J50" si="12">+SUM(I40:I49)</f>
        <v>8883388.7069950178</v>
      </c>
      <c r="J50" s="4">
        <f t="shared" si="12"/>
        <v>6375905.8486701585</v>
      </c>
      <c r="O50" s="4">
        <f t="shared" ref="O50:P50" si="13">+SUM(O40:O49)</f>
        <v>1095593.8967505</v>
      </c>
      <c r="P50" s="4">
        <f t="shared" si="13"/>
        <v>791262.25876425009</v>
      </c>
      <c r="Q50" s="4">
        <f>SUM(H50:P50)</f>
        <v>31947446.155487131</v>
      </c>
    </row>
    <row r="51" spans="1:18" ht="13.5" thickBot="1" x14ac:dyDescent="0.25">
      <c r="B51" s="11"/>
      <c r="C51" s="24"/>
      <c r="I51" s="4" t="s">
        <v>7</v>
      </c>
      <c r="Q51" s="4">
        <f>Q50-Q35</f>
        <v>2087262.3087980449</v>
      </c>
      <c r="R51">
        <f>+Q51/Q35</f>
        <v>6.9901187464707512E-2</v>
      </c>
    </row>
    <row r="52" spans="1:18" ht="14.25" thickTop="1" thickBot="1" x14ac:dyDescent="0.25">
      <c r="A52" s="11"/>
      <c r="I52" s="13" t="s">
        <v>7</v>
      </c>
      <c r="O52" s="39" t="s">
        <v>20</v>
      </c>
      <c r="P52" s="40"/>
      <c r="Q52" s="51">
        <v>6.5351000000000006E-2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103.08</v>
      </c>
      <c r="E57" s="6">
        <v>0.65</v>
      </c>
      <c r="F57" s="6">
        <v>0.4</v>
      </c>
      <c r="G57" s="6">
        <v>0.28999999999999998</v>
      </c>
      <c r="H57" s="7">
        <f>$B57*$C57*E57*12</f>
        <v>4341729.5999999996</v>
      </c>
      <c r="I57" s="7">
        <f>$B57*$C57*F57*12</f>
        <v>2671833.6</v>
      </c>
      <c r="J57" s="7">
        <f>$B57*$C57*G57*12</f>
        <v>1937079.3599999999</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154.62</v>
      </c>
      <c r="E58" s="6">
        <v>0.59</v>
      </c>
      <c r="F58" s="6">
        <v>0.35</v>
      </c>
      <c r="G58" s="6">
        <v>0.25</v>
      </c>
      <c r="H58" s="7">
        <f t="shared" ref="H58:I60" si="18">$B58*$C58*E58*12</f>
        <v>45977.803199999995</v>
      </c>
      <c r="I58" s="7">
        <f t="shared" si="18"/>
        <v>27274.967999999997</v>
      </c>
      <c r="J58" s="7">
        <f>$B58*$C58*G58*12</f>
        <v>19482.12</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123.26</v>
      </c>
      <c r="E59" s="6">
        <v>0.59</v>
      </c>
      <c r="F59" s="6">
        <v>0.35</v>
      </c>
      <c r="G59" s="6">
        <v>0.25</v>
      </c>
      <c r="H59" s="7">
        <f t="shared" si="18"/>
        <v>6605320.9752000002</v>
      </c>
      <c r="I59" s="7">
        <f t="shared" si="18"/>
        <v>3918410.7479999997</v>
      </c>
      <c r="J59" s="7">
        <f>$B59*$C59*G59*12</f>
        <v>2798864.8200000003</v>
      </c>
      <c r="L59" s="55">
        <f t="shared" si="16"/>
        <v>57.711619922537494</v>
      </c>
      <c r="M59" s="6">
        <v>0.18</v>
      </c>
      <c r="N59" s="6">
        <v>0.13</v>
      </c>
      <c r="O59" s="7">
        <f t="shared" si="19"/>
        <v>943529.58257836243</v>
      </c>
      <c r="P59" s="7">
        <f t="shared" si="19"/>
        <v>681438.03186215064</v>
      </c>
    </row>
    <row r="60" spans="1:18" x14ac:dyDescent="0.2">
      <c r="A60" t="str">
        <f t="shared" si="15"/>
        <v>SE + high flow + portable gas¹</v>
      </c>
      <c r="B60">
        <f t="shared" si="14"/>
        <v>43</v>
      </c>
      <c r="C60" s="28">
        <f t="shared" si="17"/>
        <v>154.62</v>
      </c>
      <c r="E60" s="6">
        <v>0.59</v>
      </c>
      <c r="F60" s="6">
        <v>0.35</v>
      </c>
      <c r="G60" s="6">
        <v>0.25</v>
      </c>
      <c r="H60" s="7">
        <f t="shared" si="18"/>
        <v>47072.512799999997</v>
      </c>
      <c r="I60" s="7">
        <f t="shared" si="18"/>
        <v>27924.371999999999</v>
      </c>
      <c r="J60" s="7">
        <f>$B60*$C60*G60*12</f>
        <v>19945.98</v>
      </c>
      <c r="L60" s="55">
        <f t="shared" si="16"/>
        <v>57.711619922537494</v>
      </c>
      <c r="M60" s="6">
        <v>0.18</v>
      </c>
      <c r="N60" s="6">
        <v>0.13</v>
      </c>
      <c r="O60" s="7">
        <f t="shared" si="19"/>
        <v>5360.2552584052828</v>
      </c>
      <c r="P60" s="7">
        <f t="shared" si="19"/>
        <v>3871.295464403815</v>
      </c>
    </row>
    <row r="61" spans="1:18" x14ac:dyDescent="0.2">
      <c r="A61" t="str">
        <f t="shared" si="15"/>
        <v>SE + portable liquid</v>
      </c>
      <c r="B61">
        <f t="shared" si="14"/>
        <v>81</v>
      </c>
      <c r="C61" s="28">
        <f t="shared" si="17"/>
        <v>143.71</v>
      </c>
      <c r="E61" s="6">
        <v>0.59</v>
      </c>
      <c r="F61" s="6">
        <v>0.35</v>
      </c>
      <c r="G61" s="6">
        <v>0.25</v>
      </c>
      <c r="H61" s="7">
        <f>$B61*$C61*E61*12</f>
        <v>82414.810799999992</v>
      </c>
      <c r="I61" s="7">
        <f>$B61*$C61*F61*12</f>
        <v>48890.142</v>
      </c>
      <c r="J61" s="7">
        <f>$B61*$C61*G61*12</f>
        <v>34921.53</v>
      </c>
      <c r="L61" s="55">
        <f t="shared" si="16"/>
        <v>57.711619922537494</v>
      </c>
      <c r="M61" s="6">
        <v>0.18</v>
      </c>
      <c r="N61" s="6">
        <v>0.13</v>
      </c>
      <c r="O61" s="7">
        <f t="shared" si="19"/>
        <v>10097.22502164716</v>
      </c>
      <c r="P61" s="7">
        <f t="shared" si="19"/>
        <v>7292.440293411838</v>
      </c>
    </row>
    <row r="62" spans="1:18" x14ac:dyDescent="0.2">
      <c r="A62" t="str">
        <f t="shared" si="15"/>
        <v>SE + high flow + portable liquid¹</v>
      </c>
      <c r="B62">
        <f>+B45</f>
        <v>1</v>
      </c>
      <c r="C62" s="28">
        <f t="shared" si="17"/>
        <v>154.62</v>
      </c>
      <c r="E62" s="6">
        <v>0.59</v>
      </c>
      <c r="F62" s="6">
        <v>0.35</v>
      </c>
      <c r="G62" s="6">
        <v>0.25</v>
      </c>
      <c r="H62" s="7">
        <f>$B62*$C62*E62*12</f>
        <v>1094.7095999999999</v>
      </c>
      <c r="I62" s="7">
        <f>$B62*$C62*F62*12</f>
        <v>649.404</v>
      </c>
      <c r="J62" s="7">
        <f>$B62*$C62*G62*12</f>
        <v>463.86</v>
      </c>
      <c r="L62" s="55">
        <f t="shared" si="16"/>
        <v>86.567429883806241</v>
      </c>
      <c r="M62" s="6">
        <v>0.18</v>
      </c>
      <c r="N62" s="6">
        <v>0.13</v>
      </c>
      <c r="O62" s="7">
        <f t="shared" si="19"/>
        <v>186.98564854902148</v>
      </c>
      <c r="P62" s="7">
        <f t="shared" si="19"/>
        <v>135.04519061873773</v>
      </c>
    </row>
    <row r="63" spans="1:18" x14ac:dyDescent="0.2">
      <c r="A63" t="str">
        <f t="shared" si="15"/>
        <v>SE + OGPE</v>
      </c>
      <c r="B63">
        <f>+B46</f>
        <v>2519</v>
      </c>
      <c r="C63" s="28">
        <f t="shared" si="17"/>
        <v>143.71</v>
      </c>
      <c r="E63" s="6">
        <v>0.59</v>
      </c>
      <c r="F63" s="6">
        <v>0.35</v>
      </c>
      <c r="G63" s="6">
        <v>0.25</v>
      </c>
      <c r="H63" s="7">
        <f t="shared" ref="H63:J66" si="20">$B63*$C63*E63*12</f>
        <v>2562998.8692000001</v>
      </c>
      <c r="I63" s="7">
        <f t="shared" si="20"/>
        <v>1520423.0580000002</v>
      </c>
      <c r="J63" s="7">
        <f t="shared" si="20"/>
        <v>1086016.4700000002</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154.62</v>
      </c>
      <c r="E64" s="6">
        <v>0.59</v>
      </c>
      <c r="F64" s="6">
        <v>0.35</v>
      </c>
      <c r="G64" s="6">
        <v>0.25</v>
      </c>
      <c r="H64" s="7">
        <f t="shared" si="20"/>
        <v>16420.644</v>
      </c>
      <c r="I64" s="7">
        <f t="shared" si="20"/>
        <v>9741.06</v>
      </c>
      <c r="J64" s="7">
        <f t="shared" si="20"/>
        <v>6957.9000000000005</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20.18</v>
      </c>
      <c r="E65" s="6">
        <v>0.59</v>
      </c>
      <c r="F65" s="6">
        <v>0.35</v>
      </c>
      <c r="G65" s="6">
        <v>0.25</v>
      </c>
      <c r="H65" s="7">
        <f t="shared" si="20"/>
        <v>74294.687999999995</v>
      </c>
      <c r="I65" s="7">
        <f t="shared" si="20"/>
        <v>44073.119999999995</v>
      </c>
      <c r="J65" s="7">
        <f t="shared" si="20"/>
        <v>31480.800000000003</v>
      </c>
      <c r="L65" s="55">
        <f t="shared" si="16"/>
        <v>57.711619922537494</v>
      </c>
      <c r="M65" s="6">
        <v>0.18</v>
      </c>
      <c r="N65" s="6">
        <v>0.13</v>
      </c>
      <c r="O65" s="7">
        <f t="shared" si="19"/>
        <v>64821.691496994114</v>
      </c>
      <c r="P65" s="7">
        <f t="shared" si="19"/>
        <v>46815.666081162417</v>
      </c>
      <c r="Q65" s="4"/>
    </row>
    <row r="66" spans="1:17" x14ac:dyDescent="0.2">
      <c r="A66" t="str">
        <f t="shared" si="15"/>
        <v>transfill only</v>
      </c>
      <c r="B66">
        <f>+B49</f>
        <v>196</v>
      </c>
      <c r="C66" s="28">
        <f t="shared" si="17"/>
        <v>40.64</v>
      </c>
      <c r="E66" s="6">
        <v>0.59</v>
      </c>
      <c r="F66" s="6">
        <v>0.35</v>
      </c>
      <c r="G66" s="6">
        <v>0.25</v>
      </c>
      <c r="H66" s="7">
        <f t="shared" si="20"/>
        <v>56395.315199999997</v>
      </c>
      <c r="I66" s="7">
        <f t="shared" si="20"/>
        <v>33454.847999999998</v>
      </c>
      <c r="J66" s="7">
        <f t="shared" si="20"/>
        <v>23896.32</v>
      </c>
      <c r="L66" s="55">
        <f t="shared" si="16"/>
        <v>0</v>
      </c>
      <c r="M66" s="6">
        <v>0.18</v>
      </c>
      <c r="N66" s="6">
        <v>0.13</v>
      </c>
      <c r="O66" s="7">
        <f t="shared" si="19"/>
        <v>0</v>
      </c>
      <c r="P66" s="7">
        <f t="shared" si="19"/>
        <v>0</v>
      </c>
      <c r="Q66" s="4"/>
    </row>
    <row r="67" spans="1:17" x14ac:dyDescent="0.2">
      <c r="A67" s="38" t="s">
        <v>7</v>
      </c>
      <c r="B67" s="8">
        <f>+SUM(B57:B66)</f>
        <v>16386</v>
      </c>
      <c r="H67" s="4">
        <f>SUM(H57:H66)</f>
        <v>13833719.927999998</v>
      </c>
      <c r="I67" s="4">
        <f t="shared" ref="I67:J67" si="21">SUM(I57:I66)</f>
        <v>8302675.3200000003</v>
      </c>
      <c r="J67" s="4">
        <f t="shared" si="21"/>
        <v>5959109.1600000029</v>
      </c>
      <c r="O67" s="4">
        <f t="shared" ref="O67:P67" si="22">SUM(O57:O66)</f>
        <v>1023995.740003958</v>
      </c>
      <c r="P67" s="4">
        <f t="shared" si="22"/>
        <v>739552.47889174742</v>
      </c>
      <c r="Q67" s="4">
        <f>SUM(H67:P67)</f>
        <v>29859052.626895707</v>
      </c>
    </row>
    <row r="68" spans="1:17" x14ac:dyDescent="0.2">
      <c r="Q68" s="13">
        <f>+Q67/Q35</f>
        <v>0.99996211611424812</v>
      </c>
    </row>
  </sheetData>
  <mergeCells count="4">
    <mergeCell ref="A1:R1"/>
    <mergeCell ref="F17:H17"/>
    <mergeCell ref="F18:G18"/>
    <mergeCell ref="F19:G19"/>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3" workbookViewId="0">
      <selection activeCell="B17" sqref="B17:B20"/>
    </sheetView>
  </sheetViews>
  <sheetFormatPr defaultRowHeight="12.75" x14ac:dyDescent="0.2"/>
  <cols>
    <col min="8" max="8" width="13.140625" customWidth="1"/>
    <col min="9" max="9" width="12.5703125" customWidth="1"/>
    <col min="10" max="10" width="13" customWidth="1"/>
    <col min="15" max="15" width="11.7109375" customWidth="1"/>
    <col min="16" max="16" width="11.28515625" customWidth="1"/>
    <col min="17" max="17" width="12.14062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21.186620313361178</v>
      </c>
      <c r="C17" s="22"/>
      <c r="D17" s="22"/>
      <c r="E17" s="22"/>
      <c r="F17" s="136" t="s">
        <v>58</v>
      </c>
      <c r="G17" s="137"/>
      <c r="H17" s="138"/>
      <c r="I17" s="19"/>
      <c r="J17" s="19"/>
      <c r="K17" s="19"/>
      <c r="L17" s="19"/>
      <c r="M17" s="19"/>
      <c r="N17" s="19"/>
      <c r="O17" s="19"/>
      <c r="P17" s="19"/>
      <c r="Q17" s="19"/>
      <c r="R17" s="18"/>
    </row>
    <row r="18" spans="1:18" x14ac:dyDescent="0.2">
      <c r="A18" s="42" t="s">
        <v>46</v>
      </c>
      <c r="B18" s="48">
        <v>61.189337499999993</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107.7252313354</v>
      </c>
      <c r="C19" s="22"/>
      <c r="D19" s="22"/>
      <c r="E19" s="22"/>
      <c r="F19" s="141" t="s">
        <v>59</v>
      </c>
      <c r="G19" s="142"/>
      <c r="H19" s="54">
        <v>20.77</v>
      </c>
      <c r="I19" s="19"/>
      <c r="J19" s="19"/>
      <c r="K19" s="19"/>
      <c r="L19" s="19"/>
      <c r="M19" s="19"/>
      <c r="N19" s="19"/>
      <c r="O19" s="19"/>
      <c r="P19" s="19"/>
      <c r="Q19" s="19"/>
      <c r="R19" s="18"/>
    </row>
    <row r="20" spans="1:18" x14ac:dyDescent="0.2">
      <c r="A20" s="42" t="s">
        <v>29</v>
      </c>
      <c r="B20" s="48">
        <v>42.497622500000006</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107.7252313354</v>
      </c>
      <c r="D25" s="7"/>
      <c r="E25" s="6">
        <v>0.65</v>
      </c>
      <c r="F25" s="6">
        <v>0.4</v>
      </c>
      <c r="G25" s="6">
        <v>0.28999999999999998</v>
      </c>
      <c r="H25" s="7">
        <f t="shared" ref="H25:J34" si="0">$B25*$C25*E25*12</f>
        <v>4537386.7438470479</v>
      </c>
      <c r="I25" s="7">
        <f t="shared" si="0"/>
        <v>2792237.9962135684</v>
      </c>
      <c r="J25" s="7">
        <f t="shared" si="0"/>
        <v>2024372.5472548367</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161.58784700309999</v>
      </c>
      <c r="D26" s="7"/>
      <c r="E26" s="6">
        <v>0.59</v>
      </c>
      <c r="F26" s="6">
        <v>0.35</v>
      </c>
      <c r="G26" s="6">
        <v>0.25</v>
      </c>
      <c r="H26" s="7">
        <f t="shared" si="0"/>
        <v>48049.762184841806</v>
      </c>
      <c r="I26" s="7">
        <f t="shared" si="0"/>
        <v>28504.096211346834</v>
      </c>
      <c r="J26" s="7">
        <f t="shared" si="0"/>
        <v>20360.068722390599</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128.91185164876117</v>
      </c>
      <c r="D27" s="7"/>
      <c r="E27" s="6">
        <v>0.59</v>
      </c>
      <c r="F27" s="6">
        <v>0.35</v>
      </c>
      <c r="G27" s="6">
        <v>0.25</v>
      </c>
      <c r="H27" s="7">
        <f t="shared" si="0"/>
        <v>6908195.34031667</v>
      </c>
      <c r="I27" s="7">
        <f t="shared" si="0"/>
        <v>4098081.9815437878</v>
      </c>
      <c r="J27" s="7">
        <f t="shared" si="0"/>
        <v>2927201.4153884202</v>
      </c>
      <c r="L27" s="14">
        <f>+B$18*2*H$19/H$18</f>
        <v>16.409329113944477</v>
      </c>
      <c r="M27" s="6">
        <v>0.18</v>
      </c>
      <c r="N27" s="6">
        <v>0.13</v>
      </c>
      <c r="O27" s="7">
        <f t="shared" si="2"/>
        <v>268276.77805704274</v>
      </c>
      <c r="P27" s="7">
        <f t="shared" si="2"/>
        <v>193755.45081897537</v>
      </c>
    </row>
    <row r="28" spans="1:18" x14ac:dyDescent="0.2">
      <c r="A28" t="str">
        <f t="shared" si="1"/>
        <v>SE + high flow + portable gas¹</v>
      </c>
      <c r="B28" s="49">
        <f t="shared" si="1"/>
        <v>43</v>
      </c>
      <c r="C28" s="21">
        <f>+IF((B$19*1.5 &gt;B$19+B$17),B$19*1.5,B$19+B$17)</f>
        <v>161.58784700309999</v>
      </c>
      <c r="D28" s="7"/>
      <c r="E28" s="6">
        <v>0.59</v>
      </c>
      <c r="F28" s="6">
        <v>0.35</v>
      </c>
      <c r="G28" s="6">
        <v>0.25</v>
      </c>
      <c r="H28" s="7">
        <f t="shared" si="0"/>
        <v>49193.804141623761</v>
      </c>
      <c r="I28" s="7">
        <f t="shared" si="0"/>
        <v>29182.765168759855</v>
      </c>
      <c r="J28" s="7">
        <f t="shared" si="0"/>
        <v>20844.832263399898</v>
      </c>
      <c r="L28" s="14">
        <f>+B$18*2*H$19/H$18</f>
        <v>16.409329113944477</v>
      </c>
      <c r="M28" s="6">
        <v>0.18</v>
      </c>
      <c r="N28" s="6">
        <v>0.13</v>
      </c>
      <c r="O28" s="7">
        <f t="shared" si="2"/>
        <v>1524.0984881031627</v>
      </c>
      <c r="P28" s="7">
        <f t="shared" si="2"/>
        <v>1100.7377969633956</v>
      </c>
    </row>
    <row r="29" spans="1:18" x14ac:dyDescent="0.2">
      <c r="A29" t="str">
        <f t="shared" si="1"/>
        <v>SE + portable liquid</v>
      </c>
      <c r="B29" s="49">
        <f t="shared" si="1"/>
        <v>81</v>
      </c>
      <c r="C29" s="20">
        <f>+B19+B17</f>
        <v>128.91185164876117</v>
      </c>
      <c r="D29" s="7"/>
      <c r="E29" s="6">
        <v>0.59</v>
      </c>
      <c r="F29" s="6">
        <v>0.35</v>
      </c>
      <c r="G29" s="6">
        <v>0.25</v>
      </c>
      <c r="H29" s="7">
        <f t="shared" si="0"/>
        <v>73928.36868353156</v>
      </c>
      <c r="I29" s="7">
        <f t="shared" si="0"/>
        <v>43855.811930908545</v>
      </c>
      <c r="J29" s="7">
        <f t="shared" si="0"/>
        <v>31325.579950648964</v>
      </c>
      <c r="L29" s="14">
        <f>+B$18*2*H$19/H$18</f>
        <v>16.409329113944477</v>
      </c>
      <c r="M29" s="6">
        <v>0.18</v>
      </c>
      <c r="N29" s="6">
        <v>0.13</v>
      </c>
      <c r="O29" s="7">
        <f t="shared" si="2"/>
        <v>2870.9762217757252</v>
      </c>
      <c r="P29" s="7">
        <f t="shared" si="2"/>
        <v>2073.4828268380238</v>
      </c>
      <c r="R29" s="4"/>
    </row>
    <row r="30" spans="1:18" x14ac:dyDescent="0.2">
      <c r="A30" t="str">
        <f t="shared" si="1"/>
        <v>SE + high flow + portable liquid¹</v>
      </c>
      <c r="B30" s="49">
        <f t="shared" si="1"/>
        <v>1</v>
      </c>
      <c r="C30" s="21">
        <f>+IF((B$19*1.5 &gt;B$19+B$17),B$19*1.5,B$19+B$17)</f>
        <v>161.58784700309999</v>
      </c>
      <c r="D30" s="7"/>
      <c r="E30" s="6">
        <v>0.59</v>
      </c>
      <c r="F30" s="6">
        <v>0.35</v>
      </c>
      <c r="G30" s="6">
        <v>0.25</v>
      </c>
      <c r="H30" s="7">
        <f t="shared" si="0"/>
        <v>1144.0419567819481</v>
      </c>
      <c r="I30" s="7">
        <f t="shared" si="0"/>
        <v>678.66895741301994</v>
      </c>
      <c r="J30" s="7">
        <f t="shared" si="0"/>
        <v>484.76354100929996</v>
      </c>
      <c r="L30" s="14">
        <f>+B$18*2*H$19/H$18</f>
        <v>16.409329113944477</v>
      </c>
      <c r="M30" s="6">
        <v>0.18</v>
      </c>
      <c r="N30" s="6">
        <v>0.13</v>
      </c>
      <c r="O30" s="7">
        <f t="shared" si="2"/>
        <v>35.444150886120063</v>
      </c>
      <c r="P30" s="7">
        <f t="shared" si="2"/>
        <v>25.598553417753383</v>
      </c>
      <c r="R30" s="4"/>
    </row>
    <row r="31" spans="1:18" x14ac:dyDescent="0.2">
      <c r="A31" t="str">
        <f t="shared" si="1"/>
        <v>SE + OGPE</v>
      </c>
      <c r="B31" s="49">
        <f t="shared" si="1"/>
        <v>2519</v>
      </c>
      <c r="C31" s="20">
        <f>+B19+B17</f>
        <v>128.91185164876117</v>
      </c>
      <c r="D31" s="7"/>
      <c r="E31" s="6">
        <v>0.59</v>
      </c>
      <c r="F31" s="6">
        <v>0.35</v>
      </c>
      <c r="G31" s="6">
        <v>0.25</v>
      </c>
      <c r="H31" s="7">
        <f t="shared" si="0"/>
        <v>2299080.9964668639</v>
      </c>
      <c r="I31" s="7">
        <f t="shared" si="0"/>
        <v>1363861.6080735635</v>
      </c>
      <c r="J31" s="7">
        <f t="shared" si="0"/>
        <v>974186.86290968815</v>
      </c>
      <c r="L31" s="14">
        <f>+B$18*2*H$19/H$18</f>
        <v>16.409329113944477</v>
      </c>
      <c r="M31" s="6">
        <v>0.18</v>
      </c>
      <c r="N31" s="6">
        <v>0.13</v>
      </c>
      <c r="O31" s="7">
        <f t="shared" si="2"/>
        <v>89283.816082136444</v>
      </c>
      <c r="P31" s="7">
        <f t="shared" si="2"/>
        <v>64482.756059320775</v>
      </c>
      <c r="R31" s="4"/>
    </row>
    <row r="32" spans="1:18" x14ac:dyDescent="0.2">
      <c r="A32" t="str">
        <f t="shared" si="1"/>
        <v>SE + high flow + OGPE¹</v>
      </c>
      <c r="B32" s="49">
        <f t="shared" si="1"/>
        <v>15</v>
      </c>
      <c r="C32" s="21">
        <f>+IF((B$19*1.5 &gt;B$19+B$17),B$19*1.5,B$19+B$17)</f>
        <v>161.58784700309999</v>
      </c>
      <c r="D32" s="7"/>
      <c r="E32" s="6">
        <v>0.59</v>
      </c>
      <c r="F32" s="6">
        <v>0.35</v>
      </c>
      <c r="G32" s="6">
        <v>0.25</v>
      </c>
      <c r="H32" s="7">
        <f t="shared" si="0"/>
        <v>17160.629351729218</v>
      </c>
      <c r="I32" s="7">
        <f t="shared" si="0"/>
        <v>10180.034361195299</v>
      </c>
      <c r="J32" s="7">
        <f t="shared" si="0"/>
        <v>7271.4531151395004</v>
      </c>
      <c r="L32" s="14">
        <v>0</v>
      </c>
      <c r="M32" s="6">
        <v>0.18</v>
      </c>
      <c r="N32" s="6">
        <v>0.13</v>
      </c>
      <c r="O32" s="7">
        <f t="shared" si="2"/>
        <v>0</v>
      </c>
      <c r="P32" s="7">
        <f t="shared" si="2"/>
        <v>0</v>
      </c>
      <c r="R32" s="4"/>
    </row>
    <row r="33" spans="1:18" x14ac:dyDescent="0.2">
      <c r="A33" t="str">
        <f t="shared" si="1"/>
        <v>portable gas or liquid only</v>
      </c>
      <c r="B33" s="49">
        <f t="shared" si="1"/>
        <v>520</v>
      </c>
      <c r="C33" s="20">
        <f>+B17</f>
        <v>21.186620313361178</v>
      </c>
      <c r="D33" s="7"/>
      <c r="E33" s="6">
        <v>0.59</v>
      </c>
      <c r="F33" s="6">
        <v>0.35</v>
      </c>
      <c r="G33" s="6">
        <v>0.25</v>
      </c>
      <c r="H33" s="7">
        <f t="shared" si="0"/>
        <v>78000.661345670509</v>
      </c>
      <c r="I33" s="7">
        <f t="shared" si="0"/>
        <v>46271.578764380807</v>
      </c>
      <c r="J33" s="7">
        <f t="shared" si="0"/>
        <v>33051.127688843437</v>
      </c>
      <c r="L33" s="14">
        <f>+B$18*2*H$19/H$18</f>
        <v>16.409329113944477</v>
      </c>
      <c r="M33" s="6">
        <v>0.18</v>
      </c>
      <c r="N33" s="6">
        <v>0.13</v>
      </c>
      <c r="O33" s="7">
        <f t="shared" si="2"/>
        <v>18430.958460782433</v>
      </c>
      <c r="P33" s="7">
        <f t="shared" si="2"/>
        <v>13311.24777723176</v>
      </c>
      <c r="R33" s="4"/>
    </row>
    <row r="34" spans="1:18" x14ac:dyDescent="0.2">
      <c r="A34" t="str">
        <f t="shared" si="1"/>
        <v>transfill only</v>
      </c>
      <c r="B34" s="49">
        <f t="shared" si="1"/>
        <v>196</v>
      </c>
      <c r="C34" s="20">
        <f>+B17</f>
        <v>21.186620313361178</v>
      </c>
      <c r="D34" s="7"/>
      <c r="E34" s="6">
        <v>0.59</v>
      </c>
      <c r="F34" s="6">
        <v>0.35</v>
      </c>
      <c r="G34" s="6">
        <v>0.25</v>
      </c>
      <c r="H34" s="7">
        <f t="shared" si="0"/>
        <v>29400.24927644504</v>
      </c>
      <c r="I34" s="7">
        <f t="shared" si="0"/>
        <v>17440.825841958922</v>
      </c>
      <c r="J34" s="7">
        <f t="shared" si="0"/>
        <v>12457.732744256373</v>
      </c>
      <c r="L34" s="14">
        <f>+B$18*2*H$19/H$18</f>
        <v>16.409329113944477</v>
      </c>
      <c r="M34" s="6">
        <v>0.18</v>
      </c>
      <c r="N34" s="6">
        <v>0.13</v>
      </c>
      <c r="O34" s="7">
        <f t="shared" si="2"/>
        <v>6947.0535736795327</v>
      </c>
      <c r="P34" s="7">
        <f t="shared" si="2"/>
        <v>5017.3164698796627</v>
      </c>
      <c r="R34" s="4"/>
    </row>
    <row r="35" spans="1:18" x14ac:dyDescent="0.2">
      <c r="A35" t="s">
        <v>6</v>
      </c>
      <c r="B35" s="8">
        <f>+SUM(B25:B34)</f>
        <v>16386</v>
      </c>
      <c r="H35" s="4">
        <f>+SUM(H25:H34)</f>
        <v>14041540.597571205</v>
      </c>
      <c r="I35" s="4">
        <f t="shared" ref="I35:J35" si="3">+SUM(I25:I34)</f>
        <v>8430295.3670668844</v>
      </c>
      <c r="J35" s="4">
        <f t="shared" si="3"/>
        <v>6051556.3835786339</v>
      </c>
      <c r="L35" s="14" t="s">
        <v>7</v>
      </c>
      <c r="M35" s="6"/>
      <c r="N35" s="6"/>
      <c r="O35" s="4">
        <f t="shared" ref="O35" si="4">+SUM(O25:O34)</f>
        <v>387369.1250344062</v>
      </c>
      <c r="P35" s="4">
        <f t="shared" ref="P35" si="5">+SUM(P25:P34)</f>
        <v>279766.59030262672</v>
      </c>
      <c r="Q35" s="4">
        <f>SUM(H35:P35)</f>
        <v>29190528.063553762</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107.7252313354</v>
      </c>
      <c r="E40" s="6">
        <v>0.65</v>
      </c>
      <c r="F40" s="6">
        <v>0.4</v>
      </c>
      <c r="G40" s="6">
        <v>0.28999999999999998</v>
      </c>
      <c r="H40" s="7">
        <f t="shared" ref="H40:J49" si="6">$B40*$C40*E40*12</f>
        <v>4537386.7438470479</v>
      </c>
      <c r="I40" s="7">
        <f t="shared" si="6"/>
        <v>2792237.9962135684</v>
      </c>
      <c r="J40" s="7">
        <f t="shared" si="6"/>
        <v>2024372.5472548367</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161.58784700309999</v>
      </c>
      <c r="E41" s="6">
        <v>0.59</v>
      </c>
      <c r="F41" s="6">
        <v>0.35</v>
      </c>
      <c r="G41" s="6">
        <v>0.25</v>
      </c>
      <c r="H41" s="7">
        <f t="shared" si="6"/>
        <v>48049.762184841806</v>
      </c>
      <c r="I41" s="7">
        <f t="shared" si="6"/>
        <v>28504.096211346834</v>
      </c>
      <c r="J41" s="7">
        <f t="shared" si="6"/>
        <v>20360.068722390599</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128.91185164876117</v>
      </c>
      <c r="E42" s="6">
        <v>0.59</v>
      </c>
      <c r="F42" s="6">
        <v>0.35</v>
      </c>
      <c r="G42" s="6">
        <v>0.25</v>
      </c>
      <c r="H42" s="7">
        <f t="shared" si="6"/>
        <v>6908195.34031667</v>
      </c>
      <c r="I42" s="7">
        <f t="shared" si="6"/>
        <v>4098081.9815437878</v>
      </c>
      <c r="J42" s="7">
        <f t="shared" si="6"/>
        <v>2927201.4153884202</v>
      </c>
      <c r="L42" s="14">
        <f>+B$18</f>
        <v>61.189337499999993</v>
      </c>
      <c r="M42" s="6">
        <v>0.18</v>
      </c>
      <c r="N42" s="6">
        <v>0.13</v>
      </c>
      <c r="O42" s="7">
        <f t="shared" si="8"/>
        <v>1000386.9263609998</v>
      </c>
      <c r="P42" s="7">
        <f t="shared" si="8"/>
        <v>722501.66903849994</v>
      </c>
    </row>
    <row r="43" spans="1:18" x14ac:dyDescent="0.2">
      <c r="A43" t="str">
        <f t="shared" si="7"/>
        <v>SE + high flow + portable gas¹</v>
      </c>
      <c r="B43" s="5">
        <f t="shared" si="7"/>
        <v>43</v>
      </c>
      <c r="C43" s="20">
        <f t="shared" si="7"/>
        <v>161.58784700309999</v>
      </c>
      <c r="E43" s="6">
        <v>0.59</v>
      </c>
      <c r="F43" s="6">
        <v>0.35</v>
      </c>
      <c r="G43" s="6">
        <v>0.25</v>
      </c>
      <c r="H43" s="7">
        <f t="shared" si="6"/>
        <v>49193.804141623761</v>
      </c>
      <c r="I43" s="7">
        <f t="shared" si="6"/>
        <v>29182.765168759855</v>
      </c>
      <c r="J43" s="7">
        <f t="shared" si="6"/>
        <v>20844.832263399898</v>
      </c>
      <c r="L43" s="14">
        <f>+B$18</f>
        <v>61.189337499999993</v>
      </c>
      <c r="M43" s="6">
        <v>0.18</v>
      </c>
      <c r="N43" s="6">
        <v>0.13</v>
      </c>
      <c r="O43" s="7">
        <f t="shared" si="8"/>
        <v>5683.2656669999988</v>
      </c>
      <c r="P43" s="7">
        <f t="shared" si="8"/>
        <v>4104.5807594999997</v>
      </c>
    </row>
    <row r="44" spans="1:18" x14ac:dyDescent="0.2">
      <c r="A44" t="str">
        <f t="shared" si="7"/>
        <v>SE + portable liquid</v>
      </c>
      <c r="B44" s="5">
        <f t="shared" si="7"/>
        <v>81</v>
      </c>
      <c r="C44" s="20">
        <f>+B19+B20</f>
        <v>150.2228538354</v>
      </c>
      <c r="E44" s="6">
        <v>0.59</v>
      </c>
      <c r="F44" s="6">
        <v>0.35</v>
      </c>
      <c r="G44" s="6">
        <v>0.25</v>
      </c>
      <c r="H44" s="7">
        <f>$B44*$C44*E44*12</f>
        <v>86149.802217525197</v>
      </c>
      <c r="I44" s="7">
        <f>$B44*$C44*F44*12</f>
        <v>51105.81487480308</v>
      </c>
      <c r="J44" s="7">
        <f t="shared" si="6"/>
        <v>36504.153482002206</v>
      </c>
      <c r="L44" s="14">
        <f t="shared" ref="L44" si="9">+B$18</f>
        <v>61.189337499999993</v>
      </c>
      <c r="M44" s="6">
        <v>0.18</v>
      </c>
      <c r="N44" s="6">
        <v>0.13</v>
      </c>
      <c r="O44" s="7">
        <f t="shared" si="8"/>
        <v>10705.686488999998</v>
      </c>
      <c r="P44" s="7">
        <f t="shared" si="8"/>
        <v>7731.8846864999996</v>
      </c>
      <c r="R44" s="4"/>
    </row>
    <row r="45" spans="1:18" x14ac:dyDescent="0.2">
      <c r="A45" t="str">
        <f>+A30</f>
        <v>SE + high flow + portable liquid¹</v>
      </c>
      <c r="B45" s="5">
        <f t="shared" si="7"/>
        <v>1</v>
      </c>
      <c r="C45" s="21">
        <f>+IF((B$19*1.5 &gt;B$19+B$17),B$19*1.5,B$19+B$17)</f>
        <v>161.58784700309999</v>
      </c>
      <c r="E45" s="6">
        <v>0.59</v>
      </c>
      <c r="F45" s="6">
        <v>0.35</v>
      </c>
      <c r="G45" s="6">
        <v>0.25</v>
      </c>
      <c r="H45" s="7">
        <f t="shared" ref="H45:I49" si="10">$B45*$C45*E45*12</f>
        <v>1144.0419567819481</v>
      </c>
      <c r="I45" s="7">
        <f t="shared" si="10"/>
        <v>678.66895741301994</v>
      </c>
      <c r="J45" s="7">
        <f t="shared" si="6"/>
        <v>484.76354100929996</v>
      </c>
      <c r="L45" s="14">
        <f>+B18*1.5</f>
        <v>91.78400624999999</v>
      </c>
      <c r="M45" s="6">
        <v>0.18</v>
      </c>
      <c r="N45" s="6">
        <v>0.13</v>
      </c>
      <c r="O45" s="7">
        <f t="shared" si="8"/>
        <v>198.25345349999995</v>
      </c>
      <c r="P45" s="7">
        <f t="shared" si="8"/>
        <v>143.18304974999998</v>
      </c>
      <c r="R45" s="4"/>
    </row>
    <row r="46" spans="1:18" x14ac:dyDescent="0.2">
      <c r="A46" t="str">
        <f>+A31</f>
        <v>SE + OGPE</v>
      </c>
      <c r="B46" s="5">
        <f t="shared" si="7"/>
        <v>2519</v>
      </c>
      <c r="C46" s="20">
        <f>+B19+B20</f>
        <v>150.2228538354</v>
      </c>
      <c r="E46" s="6">
        <v>0.59</v>
      </c>
      <c r="F46" s="6">
        <v>0.35</v>
      </c>
      <c r="G46" s="6">
        <v>0.25</v>
      </c>
      <c r="H46" s="7">
        <f t="shared" si="10"/>
        <v>2679152.4911845177</v>
      </c>
      <c r="I46" s="7">
        <f t="shared" si="10"/>
        <v>1589327.7490077647</v>
      </c>
      <c r="J46" s="7">
        <f t="shared" si="6"/>
        <v>1135234.1064341178</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161.58784700309999</v>
      </c>
      <c r="E47" s="6">
        <v>0.59</v>
      </c>
      <c r="F47" s="6">
        <v>0.35</v>
      </c>
      <c r="G47" s="6">
        <v>0.25</v>
      </c>
      <c r="H47" s="7">
        <f t="shared" si="10"/>
        <v>17160.629351729218</v>
      </c>
      <c r="I47" s="7">
        <f t="shared" si="10"/>
        <v>10180.034361195299</v>
      </c>
      <c r="J47" s="7">
        <f t="shared" si="6"/>
        <v>7271.4531151395004</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21.186620313361178</v>
      </c>
      <c r="E48" s="6">
        <v>0.59</v>
      </c>
      <c r="F48" s="6">
        <v>0.35</v>
      </c>
      <c r="G48" s="6">
        <v>0.25</v>
      </c>
      <c r="H48" s="7">
        <f t="shared" si="10"/>
        <v>78000.661345670509</v>
      </c>
      <c r="I48" s="7">
        <f t="shared" si="10"/>
        <v>46271.578764380807</v>
      </c>
      <c r="J48" s="7">
        <f t="shared" si="6"/>
        <v>33051.127688843437</v>
      </c>
      <c r="L48" s="14">
        <f>+B18</f>
        <v>61.189337499999993</v>
      </c>
      <c r="M48" s="6">
        <v>0.18</v>
      </c>
      <c r="N48" s="6">
        <v>0.13</v>
      </c>
      <c r="O48" s="7">
        <f t="shared" si="8"/>
        <v>68727.86387999999</v>
      </c>
      <c r="P48" s="7">
        <f t="shared" si="8"/>
        <v>49636.790580000001</v>
      </c>
      <c r="R48" s="4"/>
    </row>
    <row r="49" spans="1:18" x14ac:dyDescent="0.2">
      <c r="A49" t="str">
        <f t="shared" si="11"/>
        <v>transfill only</v>
      </c>
      <c r="B49" s="5">
        <f t="shared" si="7"/>
        <v>196</v>
      </c>
      <c r="C49" s="20">
        <f>+B20</f>
        <v>42.497622500000006</v>
      </c>
      <c r="E49" s="6">
        <v>0.59</v>
      </c>
      <c r="F49" s="6">
        <v>0.35</v>
      </c>
      <c r="G49" s="6">
        <v>0.25</v>
      </c>
      <c r="H49" s="7">
        <f t="shared" si="10"/>
        <v>58973.10079080001</v>
      </c>
      <c r="I49" s="7">
        <f t="shared" si="10"/>
        <v>34984.042842000003</v>
      </c>
      <c r="J49" s="7">
        <f t="shared" si="6"/>
        <v>24988.602030000002</v>
      </c>
      <c r="L49" s="14">
        <v>0</v>
      </c>
      <c r="M49" s="6">
        <v>0.18</v>
      </c>
      <c r="N49" s="6">
        <v>0.13</v>
      </c>
      <c r="O49" s="7">
        <f t="shared" si="8"/>
        <v>0</v>
      </c>
      <c r="P49" s="7">
        <f t="shared" si="8"/>
        <v>0</v>
      </c>
      <c r="R49" s="4"/>
    </row>
    <row r="50" spans="1:18" x14ac:dyDescent="0.2">
      <c r="A50" t="str">
        <f>+A35</f>
        <v>Total</v>
      </c>
      <c r="B50" s="8">
        <v>16386</v>
      </c>
      <c r="H50" s="4">
        <f>+SUM(H40:H49)</f>
        <v>14463406.377337208</v>
      </c>
      <c r="I50" s="4">
        <f t="shared" ref="I50:J50" si="12">+SUM(I40:I49)</f>
        <v>8680554.7279450204</v>
      </c>
      <c r="J50" s="4">
        <f t="shared" si="12"/>
        <v>6230313.0699201599</v>
      </c>
      <c r="O50" s="4">
        <f t="shared" ref="O50:P50" si="13">+SUM(O40:O49)</f>
        <v>1085701.9958504997</v>
      </c>
      <c r="P50" s="4">
        <f t="shared" si="13"/>
        <v>784118.10811425</v>
      </c>
      <c r="Q50" s="4">
        <f>SUM(H50:P50)</f>
        <v>31244094.279167138</v>
      </c>
    </row>
    <row r="51" spans="1:18" ht="13.5" thickBot="1" x14ac:dyDescent="0.25">
      <c r="B51" s="11"/>
      <c r="C51" s="24"/>
      <c r="I51" s="4" t="s">
        <v>7</v>
      </c>
      <c r="Q51" s="4">
        <f>Q50-Q35</f>
        <v>2053566.2156133763</v>
      </c>
      <c r="R51">
        <f>+Q51/Q35</f>
        <v>7.0350430493834909E-2</v>
      </c>
    </row>
    <row r="52" spans="1:18" ht="14.25" thickTop="1" thickBot="1" x14ac:dyDescent="0.25">
      <c r="A52" s="11"/>
      <c r="I52" s="13" t="s">
        <v>7</v>
      </c>
      <c r="O52" s="39" t="s">
        <v>20</v>
      </c>
      <c r="P52" s="40"/>
      <c r="Q52" s="51">
        <v>6.5740000000000007E-2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100.64</v>
      </c>
      <c r="E57" s="6">
        <v>0.65</v>
      </c>
      <c r="F57" s="6">
        <v>0.4</v>
      </c>
      <c r="G57" s="6">
        <v>0.28999999999999998</v>
      </c>
      <c r="H57" s="7">
        <f>$B57*$C57*E57*12</f>
        <v>4238956.8000000007</v>
      </c>
      <c r="I57" s="7">
        <f>$B57*$C57*F57*12</f>
        <v>2608588.8000000003</v>
      </c>
      <c r="J57" s="7">
        <f>$B57*$C57*G57*12</f>
        <v>1891226.88</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150.97</v>
      </c>
      <c r="E58" s="6">
        <v>0.59</v>
      </c>
      <c r="F58" s="6">
        <v>0.35</v>
      </c>
      <c r="G58" s="6">
        <v>0.25</v>
      </c>
      <c r="H58" s="7">
        <f t="shared" ref="H58:I60" si="18">$B58*$C58*E58*12</f>
        <v>44892.439199999993</v>
      </c>
      <c r="I58" s="7">
        <f t="shared" si="18"/>
        <v>26631.107999999993</v>
      </c>
      <c r="J58" s="7">
        <f>$B58*$C58*G58*12</f>
        <v>19022.22</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120.44</v>
      </c>
      <c r="E59" s="6">
        <v>0.59</v>
      </c>
      <c r="F59" s="6">
        <v>0.35</v>
      </c>
      <c r="G59" s="6">
        <v>0.25</v>
      </c>
      <c r="H59" s="7">
        <f t="shared" si="18"/>
        <v>6454201.3487999998</v>
      </c>
      <c r="I59" s="7">
        <f t="shared" si="18"/>
        <v>3828763.5120000001</v>
      </c>
      <c r="J59" s="7">
        <f>$B59*$C59*G59*12</f>
        <v>2734831.08</v>
      </c>
      <c r="L59" s="55">
        <f t="shared" si="16"/>
        <v>57.166750452749994</v>
      </c>
      <c r="M59" s="6">
        <v>0.18</v>
      </c>
      <c r="N59" s="6">
        <v>0.13</v>
      </c>
      <c r="O59" s="7">
        <f t="shared" si="19"/>
        <v>934621.48982202774</v>
      </c>
      <c r="P59" s="7">
        <f t="shared" si="19"/>
        <v>675004.40931590903</v>
      </c>
    </row>
    <row r="60" spans="1:18" x14ac:dyDescent="0.2">
      <c r="A60" t="str">
        <f t="shared" si="15"/>
        <v>SE + high flow + portable gas¹</v>
      </c>
      <c r="B60">
        <f t="shared" si="14"/>
        <v>43</v>
      </c>
      <c r="C60" s="28">
        <f t="shared" si="17"/>
        <v>150.97</v>
      </c>
      <c r="E60" s="6">
        <v>0.59</v>
      </c>
      <c r="F60" s="6">
        <v>0.35</v>
      </c>
      <c r="G60" s="6">
        <v>0.25</v>
      </c>
      <c r="H60" s="7">
        <f t="shared" si="18"/>
        <v>45961.306799999998</v>
      </c>
      <c r="I60" s="7">
        <f t="shared" si="18"/>
        <v>27265.182000000001</v>
      </c>
      <c r="J60" s="7">
        <f>$B60*$C60*G60*12</f>
        <v>19475.13</v>
      </c>
      <c r="L60" s="55">
        <f t="shared" si="16"/>
        <v>57.166750452749994</v>
      </c>
      <c r="M60" s="6">
        <v>0.18</v>
      </c>
      <c r="N60" s="6">
        <v>0.13</v>
      </c>
      <c r="O60" s="7">
        <f t="shared" si="19"/>
        <v>5309.6477820514192</v>
      </c>
      <c r="P60" s="7">
        <f t="shared" si="19"/>
        <v>3834.7456203704701</v>
      </c>
    </row>
    <row r="61" spans="1:18" x14ac:dyDescent="0.2">
      <c r="A61" t="str">
        <f t="shared" si="15"/>
        <v>SE + portable liquid</v>
      </c>
      <c r="B61">
        <f t="shared" si="14"/>
        <v>81</v>
      </c>
      <c r="C61" s="28">
        <f t="shared" si="17"/>
        <v>140.35</v>
      </c>
      <c r="E61" s="6">
        <v>0.59</v>
      </c>
      <c r="F61" s="6">
        <v>0.35</v>
      </c>
      <c r="G61" s="6">
        <v>0.25</v>
      </c>
      <c r="H61" s="7">
        <f>$B61*$C61*E61*12</f>
        <v>80487.918000000005</v>
      </c>
      <c r="I61" s="7">
        <f>$B61*$C61*F61*12</f>
        <v>47747.069999999992</v>
      </c>
      <c r="J61" s="7">
        <f>$B61*$C61*G61*12</f>
        <v>34105.050000000003</v>
      </c>
      <c r="L61" s="55">
        <f t="shared" si="16"/>
        <v>57.166750452749994</v>
      </c>
      <c r="M61" s="6">
        <v>0.18</v>
      </c>
      <c r="N61" s="6">
        <v>0.13</v>
      </c>
      <c r="O61" s="7">
        <f t="shared" si="19"/>
        <v>10001.894659213138</v>
      </c>
      <c r="P61" s="7">
        <f t="shared" si="19"/>
        <v>7223.59058720949</v>
      </c>
    </row>
    <row r="62" spans="1:18" x14ac:dyDescent="0.2">
      <c r="A62" t="str">
        <f t="shared" si="15"/>
        <v>SE + high flow + portable liquid¹</v>
      </c>
      <c r="B62">
        <f>+B45</f>
        <v>1</v>
      </c>
      <c r="C62" s="28">
        <f t="shared" si="17"/>
        <v>150.97</v>
      </c>
      <c r="E62" s="6">
        <v>0.59</v>
      </c>
      <c r="F62" s="6">
        <v>0.35</v>
      </c>
      <c r="G62" s="6">
        <v>0.25</v>
      </c>
      <c r="H62" s="7">
        <f>$B62*$C62*E62*12</f>
        <v>1068.8676</v>
      </c>
      <c r="I62" s="7">
        <f>$B62*$C62*F62*12</f>
        <v>634.07399999999996</v>
      </c>
      <c r="J62" s="7">
        <f>$B62*$C62*G62*12</f>
        <v>452.90999999999997</v>
      </c>
      <c r="L62" s="55">
        <f t="shared" si="16"/>
        <v>85.750125679124992</v>
      </c>
      <c r="M62" s="6">
        <v>0.18</v>
      </c>
      <c r="N62" s="6">
        <v>0.13</v>
      </c>
      <c r="O62" s="7">
        <f t="shared" si="19"/>
        <v>185.22027146690996</v>
      </c>
      <c r="P62" s="7">
        <f t="shared" si="19"/>
        <v>133.77019605943499</v>
      </c>
    </row>
    <row r="63" spans="1:18" x14ac:dyDescent="0.2">
      <c r="A63" t="str">
        <f t="shared" si="15"/>
        <v>SE + OGPE</v>
      </c>
      <c r="B63">
        <f>+B46</f>
        <v>2519</v>
      </c>
      <c r="C63" s="28">
        <f t="shared" si="17"/>
        <v>140.35</v>
      </c>
      <c r="E63" s="6">
        <v>0.59</v>
      </c>
      <c r="F63" s="6">
        <v>0.35</v>
      </c>
      <c r="G63" s="6">
        <v>0.25</v>
      </c>
      <c r="H63" s="7">
        <f t="shared" ref="H63:J66" si="20">$B63*$C63*E63*12</f>
        <v>2503074.8819999998</v>
      </c>
      <c r="I63" s="7">
        <f t="shared" si="20"/>
        <v>1484874.9299999997</v>
      </c>
      <c r="J63" s="7">
        <f t="shared" si="20"/>
        <v>1060624.95</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150.97</v>
      </c>
      <c r="E64" s="6">
        <v>0.59</v>
      </c>
      <c r="F64" s="6">
        <v>0.35</v>
      </c>
      <c r="G64" s="6">
        <v>0.25</v>
      </c>
      <c r="H64" s="7">
        <f t="shared" si="20"/>
        <v>16033.013999999999</v>
      </c>
      <c r="I64" s="7">
        <f t="shared" si="20"/>
        <v>9511.11</v>
      </c>
      <c r="J64" s="7">
        <f t="shared" si="20"/>
        <v>6793.6500000000005</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19.79</v>
      </c>
      <c r="E65" s="6">
        <v>0.59</v>
      </c>
      <c r="F65" s="6">
        <v>0.35</v>
      </c>
      <c r="G65" s="6">
        <v>0.25</v>
      </c>
      <c r="H65" s="7">
        <f t="shared" si="20"/>
        <v>72858.863999999987</v>
      </c>
      <c r="I65" s="7">
        <f t="shared" si="20"/>
        <v>43221.359999999993</v>
      </c>
      <c r="J65" s="7">
        <f t="shared" si="20"/>
        <v>30872.399999999998</v>
      </c>
      <c r="L65" s="55">
        <f t="shared" si="16"/>
        <v>57.166750452749994</v>
      </c>
      <c r="M65" s="6">
        <v>0.18</v>
      </c>
      <c r="N65" s="6">
        <v>0.13</v>
      </c>
      <c r="O65" s="7">
        <f t="shared" si="19"/>
        <v>64209.694108528791</v>
      </c>
      <c r="P65" s="7">
        <f t="shared" si="19"/>
        <v>46373.667967270798</v>
      </c>
      <c r="Q65" s="4"/>
    </row>
    <row r="66" spans="1:17" x14ac:dyDescent="0.2">
      <c r="A66" t="str">
        <f t="shared" si="15"/>
        <v>transfill only</v>
      </c>
      <c r="B66">
        <f>+B49</f>
        <v>196</v>
      </c>
      <c r="C66" s="28">
        <f t="shared" si="17"/>
        <v>39.700000000000003</v>
      </c>
      <c r="E66" s="6">
        <v>0.59</v>
      </c>
      <c r="F66" s="6">
        <v>0.35</v>
      </c>
      <c r="G66" s="6">
        <v>0.25</v>
      </c>
      <c r="H66" s="7">
        <f t="shared" si="20"/>
        <v>55090.896000000008</v>
      </c>
      <c r="I66" s="7">
        <f t="shared" si="20"/>
        <v>32681.040000000001</v>
      </c>
      <c r="J66" s="7">
        <f t="shared" si="20"/>
        <v>23343.600000000002</v>
      </c>
      <c r="L66" s="55">
        <f t="shared" si="16"/>
        <v>0</v>
      </c>
      <c r="M66" s="6">
        <v>0.18</v>
      </c>
      <c r="N66" s="6">
        <v>0.13</v>
      </c>
      <c r="O66" s="7">
        <f t="shared" si="19"/>
        <v>0</v>
      </c>
      <c r="P66" s="7">
        <f t="shared" si="19"/>
        <v>0</v>
      </c>
      <c r="Q66" s="4"/>
    </row>
    <row r="67" spans="1:17" x14ac:dyDescent="0.2">
      <c r="A67" s="38" t="s">
        <v>7</v>
      </c>
      <c r="B67" s="8">
        <f>+SUM(B57:B66)</f>
        <v>16386</v>
      </c>
      <c r="H67" s="4">
        <f>SUM(H57:H66)</f>
        <v>13512626.336399999</v>
      </c>
      <c r="I67" s="4">
        <f t="shared" ref="I67:J67" si="21">SUM(I57:I66)</f>
        <v>8109918.1860000007</v>
      </c>
      <c r="J67" s="4">
        <f t="shared" si="21"/>
        <v>5820747.8700000001</v>
      </c>
      <c r="O67" s="4">
        <f t="shared" ref="O67:P67" si="22">SUM(O57:O66)</f>
        <v>1014327.946643288</v>
      </c>
      <c r="P67" s="4">
        <f t="shared" si="22"/>
        <v>732570.18368681928</v>
      </c>
      <c r="Q67" s="4">
        <f>SUM(H67:P67)</f>
        <v>29190190.522730108</v>
      </c>
    </row>
    <row r="68" spans="1:17" x14ac:dyDescent="0.2">
      <c r="Q68" s="13">
        <f>+Q67/Q35</f>
        <v>0.99998843663181025</v>
      </c>
    </row>
  </sheetData>
  <mergeCells count="4">
    <mergeCell ref="A1:R1"/>
    <mergeCell ref="F17:H17"/>
    <mergeCell ref="F18:G18"/>
    <mergeCell ref="F19:G19"/>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sqref="A1:C10"/>
    </sheetView>
  </sheetViews>
  <sheetFormatPr defaultRowHeight="12.75" x14ac:dyDescent="0.2"/>
  <sheetData>
    <row r="1" spans="1:3" x14ac:dyDescent="0.2">
      <c r="A1" t="s">
        <v>95</v>
      </c>
      <c r="B1" t="s">
        <v>96</v>
      </c>
      <c r="C1" t="s">
        <v>97</v>
      </c>
    </row>
    <row r="2" spans="1:3" x14ac:dyDescent="0.2">
      <c r="A2" t="s">
        <v>98</v>
      </c>
      <c r="B2">
        <v>6.5299999999999997E-2</v>
      </c>
      <c r="C2">
        <f>1-B2</f>
        <v>0.93469999999999998</v>
      </c>
    </row>
    <row r="3" spans="1:3" x14ac:dyDescent="0.2">
      <c r="A3" t="s">
        <v>99</v>
      </c>
      <c r="B3">
        <v>6.4899999999999999E-2</v>
      </c>
      <c r="C3">
        <f t="shared" ref="C3:C10" si="0">1-B3</f>
        <v>0.93510000000000004</v>
      </c>
    </row>
    <row r="4" spans="1:3" x14ac:dyDescent="0.2">
      <c r="A4" t="s">
        <v>100</v>
      </c>
      <c r="B4">
        <v>6.3500000000000001E-2</v>
      </c>
      <c r="C4">
        <f t="shared" si="0"/>
        <v>0.9365</v>
      </c>
    </row>
    <row r="5" spans="1:3" x14ac:dyDescent="0.2">
      <c r="A5" t="s">
        <v>101</v>
      </c>
      <c r="B5">
        <v>6.4899999999999999E-2</v>
      </c>
      <c r="C5">
        <f t="shared" si="0"/>
        <v>0.93510000000000004</v>
      </c>
    </row>
    <row r="6" spans="1:3" x14ac:dyDescent="0.2">
      <c r="A6" t="s">
        <v>102</v>
      </c>
      <c r="B6">
        <v>6.4299999999999996E-2</v>
      </c>
      <c r="C6">
        <f t="shared" si="0"/>
        <v>0.93569999999999998</v>
      </c>
    </row>
    <row r="7" spans="1:3" x14ac:dyDescent="0.2">
      <c r="A7" t="s">
        <v>103</v>
      </c>
      <c r="B7">
        <v>6.4199999999999993E-2</v>
      </c>
      <c r="C7">
        <f t="shared" si="0"/>
        <v>0.93579999999999997</v>
      </c>
    </row>
    <row r="8" spans="1:3" x14ac:dyDescent="0.2">
      <c r="A8" t="s">
        <v>104</v>
      </c>
      <c r="B8">
        <v>6.54E-2</v>
      </c>
      <c r="C8">
        <f t="shared" si="0"/>
        <v>0.93459999999999999</v>
      </c>
    </row>
    <row r="9" spans="1:3" x14ac:dyDescent="0.2">
      <c r="A9" t="s">
        <v>105</v>
      </c>
      <c r="B9">
        <v>6.5699999999999995E-2</v>
      </c>
      <c r="C9">
        <f t="shared" si="0"/>
        <v>0.93430000000000002</v>
      </c>
    </row>
    <row r="10" spans="1:3" x14ac:dyDescent="0.2">
      <c r="A10" t="s">
        <v>106</v>
      </c>
      <c r="B10">
        <v>5.5599999999999997E-2</v>
      </c>
      <c r="C10">
        <f t="shared" si="0"/>
        <v>0.94440000000000002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3"/>
  <sheetViews>
    <sheetView workbookViewId="0">
      <selection activeCell="A9" sqref="A9:F17"/>
    </sheetView>
  </sheetViews>
  <sheetFormatPr defaultRowHeight="12.75" x14ac:dyDescent="0.2"/>
  <cols>
    <col min="1" max="1" width="22.28515625" customWidth="1"/>
  </cols>
  <sheetData>
    <row r="1" spans="1:35" x14ac:dyDescent="0.2">
      <c r="A1" s="129" t="s">
        <v>23</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row>
    <row r="2" spans="1:35" x14ac:dyDescent="0.2">
      <c r="A2" s="131" t="s">
        <v>61</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row>
    <row r="3" spans="1:35" x14ac:dyDescent="0.2">
      <c r="A3" s="129" t="s">
        <v>62</v>
      </c>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row>
    <row r="4" spans="1:35" x14ac:dyDescent="0.2">
      <c r="A4" s="129" t="s">
        <v>63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row>
    <row r="5" spans="1:35" x14ac:dyDescent="0.2">
      <c r="A5" s="129" t="s">
        <v>64</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row>
    <row r="6" spans="1:35" x14ac:dyDescent="0.2">
      <c r="A6" s="129" t="s">
        <v>22</v>
      </c>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row>
    <row r="7" spans="1:35" x14ac:dyDescent="0.2">
      <c r="A7" s="129" t="s">
        <v>65</v>
      </c>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row>
    <row r="8" spans="1:35" x14ac:dyDescent="0.2">
      <c r="A8" s="58"/>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row>
    <row r="9" spans="1:35" x14ac:dyDescent="0.2">
      <c r="A9" s="59" t="s">
        <v>23</v>
      </c>
      <c r="B9" s="132" t="s">
        <v>24</v>
      </c>
      <c r="C9" s="132"/>
      <c r="D9" s="132"/>
      <c r="E9" s="132"/>
      <c r="F9" s="132"/>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row>
    <row r="10" spans="1:35" ht="25.5" x14ac:dyDescent="0.2">
      <c r="A10" s="60" t="s">
        <v>25</v>
      </c>
      <c r="B10" s="59" t="s">
        <v>26</v>
      </c>
      <c r="C10" s="59" t="s">
        <v>28</v>
      </c>
      <c r="D10" s="59" t="s">
        <v>29</v>
      </c>
      <c r="E10" s="59" t="s">
        <v>30</v>
      </c>
      <c r="F10" s="59" t="s">
        <v>31</v>
      </c>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row>
    <row r="11" spans="1:35" x14ac:dyDescent="0.2">
      <c r="A11" s="61" t="s">
        <v>66</v>
      </c>
      <c r="B11" s="62">
        <v>9</v>
      </c>
      <c r="C11" s="62">
        <v>0</v>
      </c>
      <c r="D11" s="62">
        <v>4</v>
      </c>
      <c r="E11" s="62">
        <v>0</v>
      </c>
      <c r="F11" s="62">
        <v>5</v>
      </c>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row>
    <row r="12" spans="1:35" x14ac:dyDescent="0.2">
      <c r="A12" s="61" t="s">
        <v>67</v>
      </c>
      <c r="B12" s="62">
        <v>0</v>
      </c>
      <c r="C12" s="62">
        <v>1</v>
      </c>
      <c r="D12" s="62">
        <v>0</v>
      </c>
      <c r="E12" s="62">
        <v>0</v>
      </c>
      <c r="F12" s="62">
        <v>2</v>
      </c>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row>
    <row r="13" spans="1:35" x14ac:dyDescent="0.2">
      <c r="A13" s="61" t="s">
        <v>68</v>
      </c>
      <c r="B13" s="62">
        <v>0</v>
      </c>
      <c r="C13" s="62">
        <v>59</v>
      </c>
      <c r="D13" s="62">
        <v>0</v>
      </c>
      <c r="E13" s="62">
        <v>0</v>
      </c>
      <c r="F13" s="62">
        <v>11</v>
      </c>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row>
    <row r="14" spans="1:35" x14ac:dyDescent="0.2">
      <c r="A14" s="61" t="s">
        <v>69</v>
      </c>
      <c r="B14" s="62">
        <v>43</v>
      </c>
      <c r="C14" s="62">
        <v>0</v>
      </c>
      <c r="D14" s="62">
        <v>3</v>
      </c>
      <c r="E14" s="62">
        <v>12</v>
      </c>
      <c r="F14" s="62">
        <v>40</v>
      </c>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row>
    <row r="15" spans="1:35" x14ac:dyDescent="0.2">
      <c r="A15" s="61" t="s">
        <v>70</v>
      </c>
      <c r="B15" s="62">
        <v>7560</v>
      </c>
      <c r="C15" s="62">
        <v>22</v>
      </c>
      <c r="D15" s="62">
        <v>1025</v>
      </c>
      <c r="E15" s="62">
        <v>1490</v>
      </c>
      <c r="F15" s="62">
        <v>5384</v>
      </c>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row>
    <row r="16" spans="1:35" x14ac:dyDescent="0.2">
      <c r="A16" s="61" t="s">
        <v>31</v>
      </c>
      <c r="B16" s="62">
        <v>520</v>
      </c>
      <c r="C16" s="62">
        <v>8</v>
      </c>
      <c r="D16" s="62">
        <v>99</v>
      </c>
      <c r="E16" s="62">
        <v>89</v>
      </c>
      <c r="F16" s="62">
        <v>0</v>
      </c>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row>
    <row r="17" spans="1:35" x14ac:dyDescent="0.2">
      <c r="A17" s="58"/>
      <c r="B17" s="58"/>
      <c r="C17" s="58"/>
      <c r="D17" s="58"/>
      <c r="E17" s="58"/>
      <c r="F17" s="63">
        <f>+SUM(B11:F16)</f>
        <v>16386</v>
      </c>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row>
    <row r="18" spans="1:35" x14ac:dyDescent="0.2">
      <c r="A18" s="129" t="s">
        <v>33</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row>
    <row r="19" spans="1:35" x14ac:dyDescent="0.2">
      <c r="A19" s="129" t="s">
        <v>34</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row>
    <row r="20" spans="1:35" x14ac:dyDescent="0.2">
      <c r="A20" s="129" t="s">
        <v>71</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row>
    <row r="21" spans="1:35" x14ac:dyDescent="0.2">
      <c r="A21" s="64"/>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row>
    <row r="22" spans="1:35" x14ac:dyDescent="0.2">
      <c r="A22" s="58" t="s">
        <v>72</v>
      </c>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spans="1:35" x14ac:dyDescent="0.2">
      <c r="A23" s="129" t="s">
        <v>35</v>
      </c>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row>
    <row r="24" spans="1:35" x14ac:dyDescent="0.2">
      <c r="A24" s="129" t="s">
        <v>36</v>
      </c>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row>
    <row r="25" spans="1:35" x14ac:dyDescent="0.2">
      <c r="A25" s="129" t="s">
        <v>73</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row>
    <row r="26" spans="1:35" x14ac:dyDescent="0.2">
      <c r="A26" s="129" t="s">
        <v>37</v>
      </c>
      <c r="B26" s="130"/>
      <c r="C26" s="130"/>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row>
    <row r="27" spans="1:35" x14ac:dyDescent="0.2">
      <c r="A27" s="129" t="s">
        <v>44</v>
      </c>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row>
    <row r="28" spans="1:35" x14ac:dyDescent="0.2">
      <c r="A28" s="129" t="s">
        <v>74</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row>
    <row r="29" spans="1:35" x14ac:dyDescent="0.2">
      <c r="A29" s="64"/>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row>
    <row r="30" spans="1:35" x14ac:dyDescent="0.2">
      <c r="A30" s="129" t="s">
        <v>75</v>
      </c>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row>
    <row r="31" spans="1:35" x14ac:dyDescent="0.2">
      <c r="A31" s="58" t="s">
        <v>76</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row>
    <row r="32" spans="1:35" x14ac:dyDescent="0.2">
      <c r="A32" s="58" t="s">
        <v>55</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row>
    <row r="33" spans="1:35" x14ac:dyDescent="0.2">
      <c r="A33" s="58"/>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row>
  </sheetData>
  <mergeCells count="18">
    <mergeCell ref="A30:AI30"/>
    <mergeCell ref="A7:AI7"/>
    <mergeCell ref="B9:F9"/>
    <mergeCell ref="A18:AI18"/>
    <mergeCell ref="A19:AI19"/>
    <mergeCell ref="A20:AI20"/>
    <mergeCell ref="A23:AI23"/>
    <mergeCell ref="A24:AI24"/>
    <mergeCell ref="A25:AI25"/>
    <mergeCell ref="A26:AI26"/>
    <mergeCell ref="A27:AI27"/>
    <mergeCell ref="A28:AI28"/>
    <mergeCell ref="A6:AI6"/>
    <mergeCell ref="A1:AI1"/>
    <mergeCell ref="A2:AI2"/>
    <mergeCell ref="A3:AI3"/>
    <mergeCell ref="A4:AI4"/>
    <mergeCell ref="A5:AI5"/>
  </mergeCells>
  <hyperlinks>
    <hyperlink ref="F17" r:id="rId1" display="+@sum(b11:f1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abSelected="1" workbookViewId="0">
      <selection activeCell="G21" sqref="G21:G30"/>
    </sheetView>
  </sheetViews>
  <sheetFormatPr defaultRowHeight="12.75" x14ac:dyDescent="0.2"/>
  <cols>
    <col min="1" max="1" width="17.85546875" customWidth="1"/>
  </cols>
  <sheetData>
    <row r="1" spans="1:11" x14ac:dyDescent="0.2">
      <c r="A1" s="133" t="s">
        <v>7</v>
      </c>
      <c r="B1" s="133"/>
      <c r="C1" s="133"/>
      <c r="D1" s="133"/>
      <c r="E1" s="133"/>
      <c r="F1" s="133"/>
      <c r="G1" s="133"/>
      <c r="H1" s="36"/>
      <c r="I1" s="36"/>
      <c r="J1" s="36"/>
      <c r="K1" s="36"/>
    </row>
    <row r="2" spans="1:11" x14ac:dyDescent="0.2">
      <c r="A2" s="37"/>
      <c r="B2" s="37"/>
      <c r="C2" s="37"/>
      <c r="D2" s="37"/>
      <c r="E2" s="37"/>
      <c r="F2" s="37"/>
      <c r="G2" s="37"/>
      <c r="H2" s="36"/>
      <c r="I2" s="36"/>
      <c r="J2" s="36"/>
      <c r="K2" s="36"/>
    </row>
    <row r="3" spans="1:11" x14ac:dyDescent="0.2">
      <c r="A3" s="133"/>
      <c r="B3" s="133"/>
      <c r="C3" s="133"/>
      <c r="D3" s="133"/>
      <c r="E3" s="133"/>
      <c r="F3" s="133"/>
      <c r="G3" s="133"/>
      <c r="H3" s="36"/>
      <c r="I3" s="36"/>
      <c r="J3" s="36"/>
      <c r="K3" s="36"/>
    </row>
    <row r="4" spans="1:11" x14ac:dyDescent="0.2">
      <c r="A4" s="133"/>
      <c r="B4" s="133"/>
      <c r="C4" s="133"/>
      <c r="D4" s="133"/>
      <c r="E4" s="133"/>
      <c r="F4" s="133"/>
      <c r="G4" s="133"/>
      <c r="H4" s="36"/>
      <c r="I4" s="36"/>
      <c r="J4" s="36"/>
      <c r="K4" s="36"/>
    </row>
    <row r="5" spans="1:11" x14ac:dyDescent="0.2">
      <c r="A5" s="133"/>
      <c r="B5" s="133"/>
      <c r="C5" s="133"/>
      <c r="D5" s="133"/>
      <c r="E5" s="133"/>
      <c r="F5" s="133"/>
      <c r="G5" s="133"/>
      <c r="H5" s="36"/>
      <c r="I5" s="36"/>
      <c r="J5" s="36"/>
      <c r="K5" s="36"/>
    </row>
    <row r="6" spans="1:11" x14ac:dyDescent="0.2">
      <c r="A6" s="133"/>
      <c r="B6" s="133"/>
      <c r="C6" s="133"/>
      <c r="D6" s="133"/>
      <c r="E6" s="133"/>
      <c r="F6" s="133"/>
      <c r="G6" s="133"/>
      <c r="H6" s="36"/>
      <c r="I6" s="36"/>
      <c r="J6" s="36"/>
      <c r="K6" s="36"/>
    </row>
    <row r="7" spans="1:11" x14ac:dyDescent="0.2">
      <c r="A7" s="133"/>
      <c r="B7" s="133"/>
      <c r="C7" s="133"/>
      <c r="D7" s="133"/>
      <c r="E7" s="133"/>
      <c r="F7" s="133"/>
      <c r="G7" s="133"/>
      <c r="H7" s="36"/>
      <c r="I7" s="36"/>
      <c r="J7" s="36"/>
      <c r="K7" s="36"/>
    </row>
    <row r="8" spans="1:11" x14ac:dyDescent="0.2">
      <c r="A8" s="36"/>
      <c r="B8" s="36"/>
      <c r="C8" s="36"/>
      <c r="D8" s="36"/>
      <c r="E8" s="36"/>
      <c r="F8" s="36"/>
      <c r="G8" s="36"/>
      <c r="H8" s="36"/>
      <c r="I8" s="36"/>
      <c r="J8" s="36"/>
      <c r="K8" s="36"/>
    </row>
    <row r="9" spans="1:11" x14ac:dyDescent="0.2">
      <c r="A9" s="68" t="s">
        <v>23</v>
      </c>
      <c r="B9" s="134" t="s">
        <v>24</v>
      </c>
      <c r="C9" s="134"/>
      <c r="D9" s="134"/>
      <c r="E9" s="134"/>
      <c r="F9" s="134"/>
      <c r="G9" s="36"/>
      <c r="H9" s="36"/>
      <c r="I9" s="36"/>
      <c r="J9" s="36"/>
      <c r="K9" s="36"/>
    </row>
    <row r="10" spans="1:11" ht="25.5" x14ac:dyDescent="0.2">
      <c r="A10" s="69" t="s">
        <v>25</v>
      </c>
      <c r="B10" s="70" t="s">
        <v>26</v>
      </c>
      <c r="C10" t="s">
        <v>27</v>
      </c>
      <c r="D10" s="70" t="s">
        <v>28</v>
      </c>
      <c r="E10" s="70" t="s">
        <v>29</v>
      </c>
      <c r="F10" s="70" t="s">
        <v>30</v>
      </c>
      <c r="G10" s="70" t="s">
        <v>31</v>
      </c>
      <c r="H10" s="36"/>
      <c r="I10" s="36"/>
      <c r="J10" s="36"/>
      <c r="K10" s="36"/>
    </row>
    <row r="11" spans="1:11" x14ac:dyDescent="0.2">
      <c r="A11" t="s">
        <v>77</v>
      </c>
      <c r="B11" s="71">
        <v>0</v>
      </c>
      <c r="C11" s="72">
        <v>0</v>
      </c>
      <c r="D11" s="73">
        <v>0</v>
      </c>
      <c r="E11" s="72">
        <v>0</v>
      </c>
      <c r="F11" s="72">
        <v>0</v>
      </c>
      <c r="G11" s="74">
        <v>0</v>
      </c>
      <c r="H11" s="36"/>
      <c r="I11" s="36"/>
      <c r="J11" s="36"/>
      <c r="K11" s="36"/>
    </row>
    <row r="12" spans="1:11" x14ac:dyDescent="0.2">
      <c r="A12" s="61" t="s">
        <v>66</v>
      </c>
      <c r="B12" s="75">
        <v>9</v>
      </c>
      <c r="C12" s="76">
        <v>0</v>
      </c>
      <c r="D12" s="77">
        <v>0</v>
      </c>
      <c r="E12" s="78">
        <v>4</v>
      </c>
      <c r="F12" s="78">
        <v>0</v>
      </c>
      <c r="G12" s="79">
        <v>5</v>
      </c>
      <c r="H12" s="36"/>
      <c r="I12" s="36"/>
      <c r="J12" s="36"/>
      <c r="K12" s="36"/>
    </row>
    <row r="13" spans="1:11" x14ac:dyDescent="0.2">
      <c r="A13" s="61" t="s">
        <v>67</v>
      </c>
      <c r="B13" s="80">
        <v>0</v>
      </c>
      <c r="C13" s="72">
        <v>0</v>
      </c>
      <c r="D13" s="81">
        <v>1</v>
      </c>
      <c r="E13" s="82">
        <v>0</v>
      </c>
      <c r="F13" s="82">
        <v>0</v>
      </c>
      <c r="G13" s="83">
        <v>2</v>
      </c>
      <c r="H13" s="36"/>
      <c r="I13" s="36"/>
      <c r="J13" s="36"/>
      <c r="K13" s="36"/>
    </row>
    <row r="14" spans="1:11" x14ac:dyDescent="0.2">
      <c r="A14" s="61" t="s">
        <v>68</v>
      </c>
      <c r="B14" s="84">
        <v>0</v>
      </c>
      <c r="C14" s="76">
        <v>0</v>
      </c>
      <c r="D14" s="85">
        <v>59</v>
      </c>
      <c r="E14" s="86">
        <v>0</v>
      </c>
      <c r="F14" s="86">
        <v>0</v>
      </c>
      <c r="G14" s="87">
        <v>11</v>
      </c>
      <c r="H14" s="36"/>
      <c r="I14" s="36"/>
      <c r="J14" s="36"/>
      <c r="K14" s="36"/>
    </row>
    <row r="15" spans="1:11" x14ac:dyDescent="0.2">
      <c r="A15" s="61" t="s">
        <v>69</v>
      </c>
      <c r="B15" s="80">
        <v>43</v>
      </c>
      <c r="C15" s="72">
        <v>0</v>
      </c>
      <c r="D15" s="81">
        <v>0</v>
      </c>
      <c r="E15" s="82">
        <v>3</v>
      </c>
      <c r="F15" s="82">
        <v>12</v>
      </c>
      <c r="G15" s="83">
        <v>40</v>
      </c>
      <c r="H15" s="36"/>
      <c r="I15" s="36"/>
      <c r="J15" s="36"/>
      <c r="K15" s="36"/>
    </row>
    <row r="16" spans="1:11" x14ac:dyDescent="0.2">
      <c r="A16" s="61" t="s">
        <v>70</v>
      </c>
      <c r="B16" s="84">
        <v>7560</v>
      </c>
      <c r="C16" s="76">
        <v>0</v>
      </c>
      <c r="D16" s="85">
        <v>22</v>
      </c>
      <c r="E16" s="86">
        <v>1025</v>
      </c>
      <c r="F16" s="86">
        <v>1490</v>
      </c>
      <c r="G16" s="87">
        <v>5384</v>
      </c>
      <c r="H16" s="36"/>
      <c r="I16" s="36"/>
      <c r="J16" s="36"/>
      <c r="K16" s="36"/>
    </row>
    <row r="17" spans="1:11" x14ac:dyDescent="0.2">
      <c r="A17" s="61" t="s">
        <v>31</v>
      </c>
      <c r="B17" s="88">
        <v>520</v>
      </c>
      <c r="C17" s="89">
        <v>0</v>
      </c>
      <c r="D17" s="90">
        <v>8</v>
      </c>
      <c r="E17" s="90">
        <v>99</v>
      </c>
      <c r="F17" s="90">
        <v>89</v>
      </c>
      <c r="G17" s="62">
        <v>0</v>
      </c>
      <c r="H17" s="36"/>
      <c r="I17" s="36"/>
      <c r="J17" s="36"/>
      <c r="K17" s="36"/>
    </row>
    <row r="18" spans="1:11" x14ac:dyDescent="0.2">
      <c r="A18" s="67"/>
      <c r="B18" s="67"/>
      <c r="D18" s="67"/>
      <c r="E18" s="67"/>
      <c r="F18" s="67"/>
      <c r="G18" s="63">
        <f>SUM(B11:G17)</f>
        <v>16386</v>
      </c>
      <c r="H18" s="36"/>
      <c r="I18" s="36"/>
      <c r="J18" s="36"/>
      <c r="K18" s="36"/>
    </row>
    <row r="19" spans="1:11" x14ac:dyDescent="0.2">
      <c r="A19" s="36"/>
      <c r="B19" s="36"/>
      <c r="C19" s="36"/>
      <c r="D19" s="36"/>
      <c r="E19" s="36"/>
      <c r="F19" s="36"/>
      <c r="G19" s="36"/>
      <c r="H19" s="36"/>
      <c r="I19" s="36"/>
      <c r="J19" s="36"/>
      <c r="K19" s="36"/>
    </row>
    <row r="20" spans="1:11" x14ac:dyDescent="0.2">
      <c r="A20" s="36"/>
      <c r="B20" s="36"/>
      <c r="C20" s="36"/>
      <c r="D20" s="36"/>
      <c r="E20" s="36"/>
      <c r="F20" s="36"/>
      <c r="G20" s="30"/>
      <c r="H20" s="36"/>
      <c r="I20" s="36"/>
      <c r="J20" s="36"/>
      <c r="K20" s="36"/>
    </row>
    <row r="21" spans="1:11" x14ac:dyDescent="0.2">
      <c r="A21" s="91" t="s">
        <v>78</v>
      </c>
      <c r="B21" s="92"/>
      <c r="C21" s="92"/>
      <c r="D21" s="93"/>
      <c r="E21" s="93"/>
      <c r="F21" s="93"/>
      <c r="G21" s="94">
        <f>+G12+G14+G16</f>
        <v>5400</v>
      </c>
      <c r="H21" s="95">
        <f>+G21/G$31</f>
        <v>0.32954961552544854</v>
      </c>
      <c r="I21" s="36"/>
      <c r="J21" s="36"/>
      <c r="K21" s="36"/>
    </row>
    <row r="22" spans="1:11" x14ac:dyDescent="0.2">
      <c r="A22" s="96" t="s">
        <v>80</v>
      </c>
      <c r="B22" s="92"/>
      <c r="C22" s="92"/>
      <c r="D22" s="93"/>
      <c r="E22" s="93"/>
      <c r="F22" s="93"/>
      <c r="G22" s="97">
        <f>+G11+G13+G15</f>
        <v>42</v>
      </c>
      <c r="H22" s="95">
        <f t="shared" ref="H22:H30" si="0">+G22/G$31</f>
        <v>2.5631636763090442E-3</v>
      </c>
      <c r="I22" s="36"/>
      <c r="J22" s="36"/>
      <c r="K22" s="36"/>
    </row>
    <row r="23" spans="1:11" x14ac:dyDescent="0.2">
      <c r="A23" s="96" t="s">
        <v>79</v>
      </c>
      <c r="B23" s="92"/>
      <c r="C23" s="92"/>
      <c r="D23" s="93"/>
      <c r="E23" s="93"/>
      <c r="F23" s="93"/>
      <c r="G23" s="98">
        <f>+B12+B14+B16</f>
        <v>7569</v>
      </c>
      <c r="H23" s="95">
        <f t="shared" si="0"/>
        <v>0.46191871109483706</v>
      </c>
      <c r="I23" s="36"/>
      <c r="J23" s="36"/>
      <c r="K23" s="36"/>
    </row>
    <row r="24" spans="1:11" x14ac:dyDescent="0.2">
      <c r="A24" s="91" t="s">
        <v>81</v>
      </c>
      <c r="B24" s="92"/>
      <c r="C24" s="92"/>
      <c r="D24" s="93"/>
      <c r="E24" s="93"/>
      <c r="F24" s="93"/>
      <c r="G24" s="99">
        <f>+B11+B13+B15</f>
        <v>43</v>
      </c>
      <c r="H24" s="95">
        <f t="shared" si="0"/>
        <v>2.6241913828878309E-3</v>
      </c>
      <c r="I24" s="36"/>
      <c r="J24" s="36"/>
      <c r="K24" s="36"/>
    </row>
    <row r="25" spans="1:11" x14ac:dyDescent="0.2">
      <c r="A25" s="96" t="s">
        <v>82</v>
      </c>
      <c r="B25" s="92"/>
      <c r="C25" s="92"/>
      <c r="D25" s="93"/>
      <c r="E25" s="93"/>
      <c r="F25" s="93"/>
      <c r="G25" s="100">
        <f>+D12+D14+D16</f>
        <v>81</v>
      </c>
      <c r="H25" s="95">
        <f t="shared" si="0"/>
        <v>4.9432442328817281E-3</v>
      </c>
      <c r="I25" s="36"/>
      <c r="J25" s="36"/>
      <c r="K25" s="36"/>
    </row>
    <row r="26" spans="1:11" x14ac:dyDescent="0.2">
      <c r="A26" s="96" t="s">
        <v>83</v>
      </c>
      <c r="B26" s="92"/>
      <c r="C26" s="92"/>
      <c r="D26" s="93"/>
      <c r="E26" s="93"/>
      <c r="F26" s="93"/>
      <c r="G26" s="101">
        <f>+D11+D13+D15</f>
        <v>1</v>
      </c>
      <c r="H26" s="95">
        <f t="shared" si="0"/>
        <v>6.1027706578786769E-5</v>
      </c>
      <c r="I26" s="36"/>
      <c r="J26" s="36"/>
      <c r="K26" s="36"/>
    </row>
    <row r="27" spans="1:11" x14ac:dyDescent="0.2">
      <c r="A27" s="96" t="s">
        <v>84</v>
      </c>
      <c r="B27" s="92"/>
      <c r="C27" s="92"/>
      <c r="D27" s="93"/>
      <c r="E27" s="93"/>
      <c r="F27" s="93"/>
      <c r="G27" s="102">
        <f>+C12+E12+F12+C14+E14+F14+C16+E16+F16</f>
        <v>2519</v>
      </c>
      <c r="H27" s="95">
        <f t="shared" si="0"/>
        <v>0.15372879287196387</v>
      </c>
      <c r="I27" s="36"/>
      <c r="J27" s="36"/>
      <c r="K27" s="36"/>
    </row>
    <row r="28" spans="1:11" x14ac:dyDescent="0.2">
      <c r="A28" s="96" t="s">
        <v>85</v>
      </c>
      <c r="B28" s="92"/>
      <c r="C28" s="92"/>
      <c r="D28" s="93"/>
      <c r="E28" s="93"/>
      <c r="F28" s="93"/>
      <c r="G28" s="103">
        <f>+C11+E11+F11+C13+E13+F13+C15+E15+F15</f>
        <v>15</v>
      </c>
      <c r="H28" s="95">
        <f t="shared" si="0"/>
        <v>9.1541559868180155E-4</v>
      </c>
      <c r="I28" s="36"/>
      <c r="J28" s="36"/>
      <c r="K28" s="36"/>
    </row>
    <row r="29" spans="1:11" x14ac:dyDescent="0.2">
      <c r="A29" s="96" t="s">
        <v>92</v>
      </c>
      <c r="B29" s="92"/>
      <c r="C29" s="92"/>
      <c r="D29" s="93"/>
      <c r="E29" s="93"/>
      <c r="F29" s="93"/>
      <c r="G29" s="104">
        <f>+B17</f>
        <v>520</v>
      </c>
      <c r="H29" s="95">
        <f t="shared" si="0"/>
        <v>3.173440742096912E-2</v>
      </c>
      <c r="I29" s="36"/>
      <c r="J29" s="36"/>
      <c r="K29" s="36"/>
    </row>
    <row r="30" spans="1:11" x14ac:dyDescent="0.2">
      <c r="A30" s="96" t="s">
        <v>107</v>
      </c>
      <c r="B30" s="92"/>
      <c r="C30" s="92"/>
      <c r="D30" s="93"/>
      <c r="E30" s="93"/>
      <c r="F30" s="93"/>
      <c r="G30" s="105">
        <f>+F17+C17+D17+E17</f>
        <v>196</v>
      </c>
      <c r="H30" s="95">
        <f t="shared" si="0"/>
        <v>1.1961430489442208E-2</v>
      </c>
      <c r="I30" s="36"/>
      <c r="J30" s="36"/>
      <c r="K30" s="36"/>
    </row>
    <row r="31" spans="1:11" x14ac:dyDescent="0.2">
      <c r="A31" s="52"/>
      <c r="B31" s="65"/>
      <c r="C31" s="65"/>
      <c r="D31" s="36"/>
      <c r="E31" s="36"/>
      <c r="F31" s="36"/>
      <c r="G31" s="30">
        <f>SUM(G21:G30)</f>
        <v>16386</v>
      </c>
      <c r="H31" s="47"/>
      <c r="I31" s="36"/>
      <c r="J31" s="36"/>
      <c r="K31" s="36"/>
    </row>
    <row r="32" spans="1:11" x14ac:dyDescent="0.2">
      <c r="A32" s="52" t="s">
        <v>86</v>
      </c>
      <c r="B32" s="65"/>
      <c r="C32" s="65"/>
      <c r="D32" s="36"/>
      <c r="E32" s="36"/>
      <c r="F32" s="36"/>
      <c r="G32" s="30"/>
      <c r="H32" s="47"/>
      <c r="I32" s="36"/>
      <c r="J32" s="36"/>
      <c r="K32" s="36"/>
    </row>
    <row r="33" spans="1:11" x14ac:dyDescent="0.2">
      <c r="A33" s="35" t="s">
        <v>87</v>
      </c>
      <c r="B33" s="65"/>
      <c r="C33" s="65"/>
      <c r="D33" s="36"/>
      <c r="E33" s="36"/>
      <c r="F33" s="36"/>
      <c r="G33" s="30"/>
      <c r="H33" s="47"/>
      <c r="I33" s="36"/>
      <c r="J33" s="36"/>
      <c r="K33" s="36"/>
    </row>
    <row r="34" spans="1:11" x14ac:dyDescent="0.2">
      <c r="A34" s="35" t="s">
        <v>88</v>
      </c>
      <c r="B34" s="65"/>
      <c r="C34" s="65"/>
      <c r="D34" s="36"/>
      <c r="E34" s="36"/>
      <c r="F34" s="36"/>
      <c r="G34" s="30"/>
      <c r="H34" s="47"/>
      <c r="I34" s="36"/>
      <c r="J34" s="36"/>
      <c r="K34" s="36"/>
    </row>
    <row r="35" spans="1:11" x14ac:dyDescent="0.2">
      <c r="A35" s="35" t="s">
        <v>89</v>
      </c>
      <c r="B35" s="65"/>
      <c r="C35" s="65"/>
      <c r="D35" s="36"/>
      <c r="E35" s="36"/>
      <c r="F35" s="36"/>
      <c r="G35" s="30"/>
      <c r="H35" s="47"/>
      <c r="I35" s="36"/>
      <c r="J35" s="36"/>
      <c r="K35" s="36"/>
    </row>
    <row r="36" spans="1:11" x14ac:dyDescent="0.2">
      <c r="A36" s="35" t="s">
        <v>90</v>
      </c>
      <c r="B36" s="36"/>
      <c r="C36" s="36"/>
      <c r="D36" s="36"/>
      <c r="E36" s="36"/>
      <c r="F36" s="36"/>
      <c r="G36" s="30"/>
      <c r="H36" s="47"/>
      <c r="I36" s="36"/>
      <c r="J36" s="36"/>
      <c r="K36" s="36"/>
    </row>
    <row r="37" spans="1:11" x14ac:dyDescent="0.2">
      <c r="A37" s="35" t="s">
        <v>43</v>
      </c>
      <c r="B37" s="36"/>
      <c r="C37" s="36"/>
      <c r="D37" s="36"/>
      <c r="E37" s="36"/>
      <c r="F37" s="36"/>
      <c r="G37" s="30"/>
      <c r="H37" s="47"/>
      <c r="I37" s="36"/>
      <c r="J37" s="36"/>
      <c r="K37" s="36"/>
    </row>
    <row r="38" spans="1:11" ht="13.5" thickBot="1" x14ac:dyDescent="0.25">
      <c r="A38" s="34"/>
      <c r="B38" s="33"/>
      <c r="C38" s="33"/>
      <c r="D38" s="33"/>
      <c r="E38" s="33"/>
      <c r="F38" s="33"/>
      <c r="G38" s="32"/>
      <c r="H38" s="31"/>
      <c r="I38" s="36"/>
      <c r="J38" s="36"/>
      <c r="K38" s="36"/>
    </row>
    <row r="39" spans="1:11" ht="12.75" customHeight="1" x14ac:dyDescent="0.2">
      <c r="A39" s="133" t="s">
        <v>37</v>
      </c>
      <c r="B39" s="133"/>
      <c r="C39" s="133"/>
      <c r="D39" s="133"/>
      <c r="E39" s="133"/>
      <c r="F39" s="133"/>
      <c r="G39" s="133"/>
      <c r="H39" s="36"/>
      <c r="I39" s="36"/>
      <c r="J39" s="36"/>
      <c r="K39" s="36"/>
    </row>
    <row r="40" spans="1:11" ht="12.75" customHeight="1" x14ac:dyDescent="0.2">
      <c r="A40" s="133" t="s">
        <v>35</v>
      </c>
      <c r="B40" s="133"/>
      <c r="C40" s="133"/>
      <c r="D40" s="133"/>
      <c r="E40" s="133"/>
      <c r="F40" s="133"/>
      <c r="G40" s="133"/>
      <c r="H40" s="36"/>
      <c r="I40" s="36"/>
      <c r="J40" s="36"/>
      <c r="K40" s="36"/>
    </row>
    <row r="41" spans="1:11" ht="12.75" customHeight="1" x14ac:dyDescent="0.2">
      <c r="A41" s="133" t="s">
        <v>36</v>
      </c>
      <c r="B41" s="133"/>
      <c r="C41" s="133"/>
      <c r="D41" s="133"/>
      <c r="E41" s="133"/>
      <c r="F41" s="133"/>
      <c r="G41" s="133"/>
      <c r="H41" s="36"/>
      <c r="I41" s="36"/>
      <c r="J41" s="36"/>
      <c r="K41" s="36"/>
    </row>
    <row r="42" spans="1:11" ht="12.75" customHeight="1" x14ac:dyDescent="0.2">
      <c r="A42" s="133" t="s">
        <v>38</v>
      </c>
      <c r="B42" s="133"/>
      <c r="C42" s="133"/>
      <c r="D42" s="133"/>
      <c r="E42" s="133"/>
      <c r="F42" s="133"/>
      <c r="G42" s="133"/>
      <c r="H42" s="36"/>
      <c r="I42" s="36"/>
      <c r="J42" s="36"/>
      <c r="K42" s="36"/>
    </row>
    <row r="43" spans="1:11" ht="12.75" customHeight="1" x14ac:dyDescent="0.2">
      <c r="A43" s="133" t="s">
        <v>39</v>
      </c>
      <c r="B43" s="133"/>
      <c r="C43" s="133"/>
      <c r="D43" s="133"/>
      <c r="E43" s="133"/>
      <c r="F43" s="133"/>
      <c r="G43" s="133"/>
      <c r="H43" s="36"/>
      <c r="I43" s="36"/>
      <c r="J43" s="36"/>
      <c r="K43" s="36"/>
    </row>
    <row r="44" spans="1:11" ht="12.75" customHeight="1" x14ac:dyDescent="0.2">
      <c r="A44" s="133" t="s">
        <v>40</v>
      </c>
      <c r="B44" s="133"/>
      <c r="C44" s="133"/>
      <c r="D44" s="133"/>
      <c r="E44" s="133"/>
      <c r="F44" s="133"/>
      <c r="G44" s="133"/>
      <c r="H44" s="36"/>
      <c r="I44" s="36"/>
      <c r="J44" s="36"/>
      <c r="K44" s="36"/>
    </row>
    <row r="45" spans="1:11" ht="12.75" customHeight="1" x14ac:dyDescent="0.2">
      <c r="A45" s="133" t="s">
        <v>33</v>
      </c>
      <c r="B45" s="133"/>
      <c r="C45" s="133"/>
      <c r="D45" s="133"/>
      <c r="E45" s="133"/>
      <c r="F45" s="133"/>
      <c r="G45" s="133"/>
      <c r="H45" s="36"/>
      <c r="I45" s="36"/>
      <c r="J45" s="36"/>
      <c r="K45" s="36"/>
    </row>
    <row r="46" spans="1:11" ht="12.75" customHeight="1" x14ac:dyDescent="0.2">
      <c r="A46" s="133" t="s">
        <v>41</v>
      </c>
      <c r="B46" s="133"/>
      <c r="C46" s="133"/>
      <c r="D46" s="133"/>
      <c r="E46" s="133"/>
      <c r="F46" s="133"/>
      <c r="G46" s="133"/>
      <c r="H46" s="36"/>
      <c r="I46" s="36"/>
      <c r="J46" s="36"/>
      <c r="K46" s="36"/>
    </row>
    <row r="47" spans="1:11" ht="12.75" customHeight="1" x14ac:dyDescent="0.2">
      <c r="A47" s="133" t="s">
        <v>42</v>
      </c>
      <c r="B47" s="133"/>
      <c r="C47" s="133"/>
      <c r="D47" s="133"/>
      <c r="E47" s="133"/>
      <c r="F47" s="133"/>
      <c r="G47" s="133"/>
      <c r="H47" s="36"/>
      <c r="I47" s="36"/>
      <c r="J47" s="36"/>
      <c r="K47" s="36"/>
    </row>
  </sheetData>
  <mergeCells count="16">
    <mergeCell ref="B9:F9"/>
    <mergeCell ref="A7:G7"/>
    <mergeCell ref="A1:G1"/>
    <mergeCell ref="A3:G3"/>
    <mergeCell ref="A4:G4"/>
    <mergeCell ref="A5:G5"/>
    <mergeCell ref="A6:G6"/>
    <mergeCell ref="A44:G44"/>
    <mergeCell ref="A45:G45"/>
    <mergeCell ref="A46:G46"/>
    <mergeCell ref="A47:G47"/>
    <mergeCell ref="A39:G39"/>
    <mergeCell ref="A40:G40"/>
    <mergeCell ref="A41:G41"/>
    <mergeCell ref="A42:G42"/>
    <mergeCell ref="A43:G4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G4" sqref="G4"/>
    </sheetView>
  </sheetViews>
  <sheetFormatPr defaultRowHeight="12.75" x14ac:dyDescent="0.2"/>
  <cols>
    <col min="3" max="3" width="0" hidden="1" customWidth="1"/>
  </cols>
  <sheetData>
    <row r="1" spans="1:8" x14ac:dyDescent="0.2">
      <c r="A1" s="38" t="s">
        <v>127</v>
      </c>
      <c r="E1" s="106">
        <f>199.84*0.905*1.071</f>
        <v>193.69591919999999</v>
      </c>
    </row>
    <row r="3" spans="1:8" x14ac:dyDescent="0.2">
      <c r="A3" s="119" t="s">
        <v>120</v>
      </c>
      <c r="B3" s="120" t="s">
        <v>132</v>
      </c>
      <c r="C3" s="120" t="s">
        <v>122</v>
      </c>
      <c r="D3" s="120" t="s">
        <v>123</v>
      </c>
      <c r="E3" s="120" t="s">
        <v>108</v>
      </c>
      <c r="F3" s="120" t="s">
        <v>109</v>
      </c>
      <c r="G3" s="120" t="s">
        <v>144</v>
      </c>
      <c r="H3" s="121" t="s">
        <v>111</v>
      </c>
    </row>
    <row r="4" spans="1:8" x14ac:dyDescent="0.2">
      <c r="A4" s="122" t="s">
        <v>124</v>
      </c>
      <c r="B4" s="123" t="s">
        <v>106</v>
      </c>
      <c r="C4" s="123" t="s">
        <v>128</v>
      </c>
      <c r="D4" s="123">
        <v>30.846022730639994</v>
      </c>
      <c r="E4" s="123">
        <v>0</v>
      </c>
      <c r="F4" s="123">
        <v>19.02</v>
      </c>
      <c r="G4" s="124">
        <v>1.0229999999999999</v>
      </c>
      <c r="H4" s="125">
        <f>0.5*D4*G4+0.5*F4</f>
        <v>25.287740626722353</v>
      </c>
    </row>
    <row r="5" spans="1:8" x14ac:dyDescent="0.2">
      <c r="A5" s="126" t="s">
        <v>46</v>
      </c>
      <c r="B5" s="127" t="s">
        <v>106</v>
      </c>
      <c r="C5" s="127" t="s">
        <v>128</v>
      </c>
      <c r="D5" s="127">
        <v>77.45</v>
      </c>
      <c r="E5" s="127">
        <v>0</v>
      </c>
      <c r="F5" s="127">
        <v>58.06</v>
      </c>
      <c r="G5" s="124">
        <v>1.0229999999999999</v>
      </c>
      <c r="H5" s="125">
        <f t="shared" ref="H5:H7" si="0">0.5*D5*G5+0.5*F5</f>
        <v>68.645674999999997</v>
      </c>
    </row>
    <row r="6" spans="1:8" x14ac:dyDescent="0.2">
      <c r="A6" s="122" t="s">
        <v>125</v>
      </c>
      <c r="B6" s="123" t="s">
        <v>106</v>
      </c>
      <c r="C6" s="123" t="s">
        <v>128</v>
      </c>
      <c r="D6" s="123">
        <f>+E$1</f>
        <v>193.69591919999999</v>
      </c>
      <c r="E6" s="123">
        <v>0</v>
      </c>
      <c r="F6" s="123">
        <v>85.06</v>
      </c>
      <c r="G6" s="124">
        <v>1.0229999999999999</v>
      </c>
      <c r="H6" s="125">
        <f t="shared" si="0"/>
        <v>141.60546267079999</v>
      </c>
    </row>
    <row r="7" spans="1:8" x14ac:dyDescent="0.2">
      <c r="A7" s="126" t="s">
        <v>126</v>
      </c>
      <c r="B7" s="127" t="s">
        <v>106</v>
      </c>
      <c r="C7" s="127" t="s">
        <v>128</v>
      </c>
      <c r="D7" s="127">
        <v>51.63</v>
      </c>
      <c r="E7" s="127">
        <v>0</v>
      </c>
      <c r="F7" s="127">
        <v>41.9</v>
      </c>
      <c r="G7" s="124">
        <v>1.0229999999999999</v>
      </c>
      <c r="H7" s="125">
        <f t="shared" si="0"/>
        <v>47.358744999999999</v>
      </c>
    </row>
    <row r="8" spans="1:8" x14ac:dyDescent="0.2">
      <c r="A8" s="122" t="s">
        <v>124</v>
      </c>
      <c r="B8" s="123" t="s">
        <v>98</v>
      </c>
      <c r="C8" s="123" t="s">
        <v>112</v>
      </c>
      <c r="D8" s="123">
        <v>30.846022730639994</v>
      </c>
      <c r="E8" s="123">
        <f>17.29*1.1</f>
        <v>19.019000000000002</v>
      </c>
      <c r="F8" s="123">
        <v>17.254000000000001</v>
      </c>
      <c r="G8" s="124">
        <v>1.0229999999999999</v>
      </c>
      <c r="H8" s="128">
        <f>0.25*D8*G8+0.25*E8+0.5*F8</f>
        <v>21.270620313361178</v>
      </c>
    </row>
    <row r="9" spans="1:8" x14ac:dyDescent="0.2">
      <c r="A9" s="126" t="s">
        <v>46</v>
      </c>
      <c r="B9" s="127" t="s">
        <v>98</v>
      </c>
      <c r="C9" s="127" t="s">
        <v>112</v>
      </c>
      <c r="D9" s="127">
        <v>77.45</v>
      </c>
      <c r="E9" s="127">
        <f>52.7*1.1</f>
        <v>57.970000000000006</v>
      </c>
      <c r="F9" s="127">
        <v>51.671999999999997</v>
      </c>
      <c r="G9" s="124">
        <v>1.0229999999999999</v>
      </c>
      <c r="H9" s="128">
        <f t="shared" ref="H9:H39" si="1">0.25*D9*G9+0.25*E9+0.5*F9</f>
        <v>60.136337499999996</v>
      </c>
    </row>
    <row r="10" spans="1:8" x14ac:dyDescent="0.2">
      <c r="A10" s="122" t="s">
        <v>125</v>
      </c>
      <c r="B10" s="123" t="s">
        <v>98</v>
      </c>
      <c r="C10" s="123" t="s">
        <v>112</v>
      </c>
      <c r="D10" s="123">
        <f>+E$1</f>
        <v>193.69591919999999</v>
      </c>
      <c r="E10" s="123">
        <v>85.06</v>
      </c>
      <c r="F10" s="123">
        <v>77.722999999999999</v>
      </c>
      <c r="G10" s="124">
        <v>1.0229999999999999</v>
      </c>
      <c r="H10" s="128">
        <f t="shared" si="1"/>
        <v>109.66423133539999</v>
      </c>
    </row>
    <row r="11" spans="1:8" x14ac:dyDescent="0.2">
      <c r="A11" s="126" t="s">
        <v>126</v>
      </c>
      <c r="B11" s="127" t="s">
        <v>98</v>
      </c>
      <c r="C11" s="127" t="s">
        <v>112</v>
      </c>
      <c r="D11" s="127">
        <v>51.63</v>
      </c>
      <c r="E11" s="127">
        <f>38.09*1.1</f>
        <v>41.899000000000008</v>
      </c>
      <c r="F11" s="127">
        <v>39.680999999999997</v>
      </c>
      <c r="G11" s="124">
        <v>1.0229999999999999</v>
      </c>
      <c r="H11" s="128">
        <f t="shared" si="1"/>
        <v>43.519622499999997</v>
      </c>
    </row>
    <row r="12" spans="1:8" x14ac:dyDescent="0.2">
      <c r="A12" s="122" t="s">
        <v>124</v>
      </c>
      <c r="B12" s="123" t="s">
        <v>99</v>
      </c>
      <c r="C12" s="123" t="s">
        <v>113</v>
      </c>
      <c r="D12" s="123">
        <v>30.846022730639994</v>
      </c>
      <c r="E12" s="123">
        <f>17.29*1.1</f>
        <v>19.019000000000002</v>
      </c>
      <c r="F12" s="123">
        <v>16.585000000000001</v>
      </c>
      <c r="G12" s="124">
        <v>1.0229999999999999</v>
      </c>
      <c r="H12" s="128">
        <f t="shared" si="1"/>
        <v>20.93612031336118</v>
      </c>
    </row>
    <row r="13" spans="1:8" x14ac:dyDescent="0.2">
      <c r="A13" s="126" t="s">
        <v>46</v>
      </c>
      <c r="B13" s="127" t="s">
        <v>99</v>
      </c>
      <c r="C13" s="127" t="s">
        <v>113</v>
      </c>
      <c r="D13" s="127">
        <v>77.45</v>
      </c>
      <c r="E13" s="127">
        <f>52.7*1.1</f>
        <v>57.970000000000006</v>
      </c>
      <c r="F13" s="127">
        <v>48.350999999999999</v>
      </c>
      <c r="G13" s="124">
        <v>1.0229999999999999</v>
      </c>
      <c r="H13" s="128">
        <f t="shared" si="1"/>
        <v>58.475837499999997</v>
      </c>
    </row>
    <row r="14" spans="1:8" x14ac:dyDescent="0.2">
      <c r="A14" s="122" t="s">
        <v>125</v>
      </c>
      <c r="B14" s="123" t="s">
        <v>99</v>
      </c>
      <c r="C14" s="123" t="s">
        <v>113</v>
      </c>
      <c r="D14" s="123">
        <f>+E$1</f>
        <v>193.69591919999999</v>
      </c>
      <c r="E14" s="123">
        <v>85.06</v>
      </c>
      <c r="F14" s="123">
        <v>75.272000000000006</v>
      </c>
      <c r="G14" s="124">
        <v>1.0229999999999999</v>
      </c>
      <c r="H14" s="128">
        <f t="shared" si="1"/>
        <v>108.43873133540001</v>
      </c>
    </row>
    <row r="15" spans="1:8" x14ac:dyDescent="0.2">
      <c r="A15" s="126" t="s">
        <v>126</v>
      </c>
      <c r="B15" s="127" t="s">
        <v>99</v>
      </c>
      <c r="C15" s="127" t="s">
        <v>113</v>
      </c>
      <c r="D15" s="127">
        <v>51.63</v>
      </c>
      <c r="E15" s="127">
        <f>38.09*1.1</f>
        <v>41.899000000000008</v>
      </c>
      <c r="F15" s="127">
        <v>38.722000000000001</v>
      </c>
      <c r="G15" s="124">
        <v>1.0229999999999999</v>
      </c>
      <c r="H15" s="128">
        <f t="shared" si="1"/>
        <v>43.040122500000003</v>
      </c>
    </row>
    <row r="16" spans="1:8" x14ac:dyDescent="0.2">
      <c r="A16" s="122" t="s">
        <v>124</v>
      </c>
      <c r="B16" s="123" t="s">
        <v>100</v>
      </c>
      <c r="C16" s="123" t="s">
        <v>114</v>
      </c>
      <c r="D16" s="123">
        <v>30.846022730639994</v>
      </c>
      <c r="E16" s="123">
        <f>17.29*1.1</f>
        <v>19.019000000000002</v>
      </c>
      <c r="F16" s="123">
        <v>17.273</v>
      </c>
      <c r="G16" s="124">
        <v>1.0229999999999999</v>
      </c>
      <c r="H16" s="128">
        <f t="shared" si="1"/>
        <v>21.280120313361181</v>
      </c>
    </row>
    <row r="17" spans="1:8" x14ac:dyDescent="0.2">
      <c r="A17" s="126" t="s">
        <v>46</v>
      </c>
      <c r="B17" s="127" t="s">
        <v>100</v>
      </c>
      <c r="C17" s="127" t="s">
        <v>114</v>
      </c>
      <c r="D17" s="127">
        <v>77.45</v>
      </c>
      <c r="E17" s="127">
        <f>52.7*1.1</f>
        <v>57.970000000000006</v>
      </c>
      <c r="F17" s="127">
        <v>52.761000000000003</v>
      </c>
      <c r="G17" s="124">
        <v>1.0229999999999999</v>
      </c>
      <c r="H17" s="128">
        <f t="shared" si="1"/>
        <v>60.680837499999996</v>
      </c>
    </row>
    <row r="18" spans="1:8" x14ac:dyDescent="0.2">
      <c r="A18" s="122" t="s">
        <v>125</v>
      </c>
      <c r="B18" s="123" t="s">
        <v>100</v>
      </c>
      <c r="C18" s="123" t="s">
        <v>114</v>
      </c>
      <c r="D18" s="123">
        <f>+E$1</f>
        <v>193.69591919999999</v>
      </c>
      <c r="E18" s="123">
        <v>85.06</v>
      </c>
      <c r="F18" s="123">
        <v>77.555000000000007</v>
      </c>
      <c r="G18" s="124">
        <v>1.0229999999999999</v>
      </c>
      <c r="H18" s="128">
        <f t="shared" si="1"/>
        <v>109.5802313354</v>
      </c>
    </row>
    <row r="19" spans="1:8" x14ac:dyDescent="0.2">
      <c r="A19" s="126" t="s">
        <v>126</v>
      </c>
      <c r="B19" s="127" t="s">
        <v>100</v>
      </c>
      <c r="C19" s="127" t="s">
        <v>114</v>
      </c>
      <c r="D19" s="127">
        <v>51.63</v>
      </c>
      <c r="E19" s="127">
        <f>38.09*1.1</f>
        <v>41.899000000000008</v>
      </c>
      <c r="F19" s="127">
        <v>36.137</v>
      </c>
      <c r="G19" s="124">
        <v>1.0229999999999999</v>
      </c>
      <c r="H19" s="128">
        <f t="shared" si="1"/>
        <v>41.747622500000006</v>
      </c>
    </row>
    <row r="20" spans="1:8" x14ac:dyDescent="0.2">
      <c r="A20" s="122" t="s">
        <v>124</v>
      </c>
      <c r="B20" s="123" t="s">
        <v>101</v>
      </c>
      <c r="C20" s="123" t="s">
        <v>115</v>
      </c>
      <c r="D20" s="123">
        <v>30.846022730639994</v>
      </c>
      <c r="E20" s="123">
        <f>17.29*1.1</f>
        <v>19.019000000000002</v>
      </c>
      <c r="F20" s="123">
        <v>17.693000000000001</v>
      </c>
      <c r="G20" s="124">
        <v>1.0229999999999999</v>
      </c>
      <c r="H20" s="128">
        <f t="shared" si="1"/>
        <v>21.490120313361182</v>
      </c>
    </row>
    <row r="21" spans="1:8" x14ac:dyDescent="0.2">
      <c r="A21" s="126" t="s">
        <v>46</v>
      </c>
      <c r="B21" s="127" t="s">
        <v>101</v>
      </c>
      <c r="C21" s="127" t="s">
        <v>115</v>
      </c>
      <c r="D21" s="127">
        <v>77.45</v>
      </c>
      <c r="E21" s="127">
        <f>52.7*1.1</f>
        <v>57.970000000000006</v>
      </c>
      <c r="F21" s="127">
        <v>53.863999999999997</v>
      </c>
      <c r="G21" s="124">
        <v>1.0229999999999999</v>
      </c>
      <c r="H21" s="128">
        <f t="shared" si="1"/>
        <v>61.2323375</v>
      </c>
    </row>
    <row r="22" spans="1:8" x14ac:dyDescent="0.2">
      <c r="A22" s="122" t="s">
        <v>125</v>
      </c>
      <c r="B22" s="123" t="s">
        <v>101</v>
      </c>
      <c r="C22" s="123" t="s">
        <v>115</v>
      </c>
      <c r="D22" s="123">
        <f>+E$1</f>
        <v>193.69591919999999</v>
      </c>
      <c r="E22" s="123">
        <v>85.06</v>
      </c>
      <c r="F22" s="123">
        <v>78.213999999999999</v>
      </c>
      <c r="G22" s="124">
        <v>1.0229999999999999</v>
      </c>
      <c r="H22" s="128">
        <f t="shared" si="1"/>
        <v>109.9097313354</v>
      </c>
    </row>
    <row r="23" spans="1:8" x14ac:dyDescent="0.2">
      <c r="A23" s="126" t="s">
        <v>126</v>
      </c>
      <c r="B23" s="127" t="s">
        <v>101</v>
      </c>
      <c r="C23" s="127" t="s">
        <v>115</v>
      </c>
      <c r="D23" s="127">
        <v>51.63</v>
      </c>
      <c r="E23" s="127">
        <f>38.09*1.1</f>
        <v>41.899000000000008</v>
      </c>
      <c r="F23" s="127">
        <v>38.676000000000002</v>
      </c>
      <c r="G23" s="124">
        <v>1.0229999999999999</v>
      </c>
      <c r="H23" s="128">
        <f t="shared" si="1"/>
        <v>43.017122499999999</v>
      </c>
    </row>
    <row r="24" spans="1:8" x14ac:dyDescent="0.2">
      <c r="A24" s="122" t="s">
        <v>124</v>
      </c>
      <c r="B24" s="123" t="s">
        <v>102</v>
      </c>
      <c r="C24" s="123" t="s">
        <v>116</v>
      </c>
      <c r="D24" s="123">
        <v>30.846022730639994</v>
      </c>
      <c r="E24" s="123">
        <f>17.29*1.1</f>
        <v>19.019000000000002</v>
      </c>
      <c r="F24" s="123">
        <v>17.286999999999999</v>
      </c>
      <c r="G24" s="124">
        <v>1.0229999999999999</v>
      </c>
      <c r="H24" s="128">
        <f t="shared" si="1"/>
        <v>21.287120313361179</v>
      </c>
    </row>
    <row r="25" spans="1:8" x14ac:dyDescent="0.2">
      <c r="A25" s="126" t="s">
        <v>46</v>
      </c>
      <c r="B25" s="127" t="s">
        <v>102</v>
      </c>
      <c r="C25" s="127" t="s">
        <v>116</v>
      </c>
      <c r="D25" s="127">
        <v>77.45</v>
      </c>
      <c r="E25" s="127">
        <f>52.7*1.1</f>
        <v>57.970000000000006</v>
      </c>
      <c r="F25" s="127">
        <v>53.317999999999998</v>
      </c>
      <c r="G25" s="124">
        <v>1.0229999999999999</v>
      </c>
      <c r="H25" s="128">
        <f t="shared" si="1"/>
        <v>60.959337499999997</v>
      </c>
    </row>
    <row r="26" spans="1:8" x14ac:dyDescent="0.2">
      <c r="A26" s="122" t="s">
        <v>125</v>
      </c>
      <c r="B26" s="123" t="s">
        <v>102</v>
      </c>
      <c r="C26" s="123" t="s">
        <v>116</v>
      </c>
      <c r="D26" s="123">
        <f>+E$1</f>
        <v>193.69591919999999</v>
      </c>
      <c r="E26" s="123">
        <v>85.06</v>
      </c>
      <c r="F26" s="123">
        <v>78.251000000000005</v>
      </c>
      <c r="G26" s="124">
        <v>1.0229999999999999</v>
      </c>
      <c r="H26" s="128">
        <f t="shared" si="1"/>
        <v>109.9282313354</v>
      </c>
    </row>
    <row r="27" spans="1:8" x14ac:dyDescent="0.2">
      <c r="A27" s="126" t="s">
        <v>126</v>
      </c>
      <c r="B27" s="127" t="s">
        <v>102</v>
      </c>
      <c r="C27" s="127" t="s">
        <v>116</v>
      </c>
      <c r="D27" s="127">
        <v>51.63</v>
      </c>
      <c r="E27" s="127">
        <f>38.09*1.1</f>
        <v>41.899000000000008</v>
      </c>
      <c r="F27" s="127">
        <v>37.438000000000002</v>
      </c>
      <c r="G27" s="124">
        <v>1.0229999999999999</v>
      </c>
      <c r="H27" s="128">
        <f t="shared" si="1"/>
        <v>42.398122499999999</v>
      </c>
    </row>
    <row r="28" spans="1:8" x14ac:dyDescent="0.2">
      <c r="A28" s="122" t="s">
        <v>124</v>
      </c>
      <c r="B28" s="123" t="s">
        <v>103</v>
      </c>
      <c r="C28" s="123" t="s">
        <v>117</v>
      </c>
      <c r="D28" s="123">
        <v>30.846022730639994</v>
      </c>
      <c r="E28" s="123">
        <f>17.29*1.1</f>
        <v>19.019000000000002</v>
      </c>
      <c r="F28" s="123">
        <v>17.265000000000001</v>
      </c>
      <c r="G28" s="124">
        <v>1.0229999999999999</v>
      </c>
      <c r="H28" s="128">
        <f t="shared" si="1"/>
        <v>21.276120313361179</v>
      </c>
    </row>
    <row r="29" spans="1:8" x14ac:dyDescent="0.2">
      <c r="A29" s="126" t="s">
        <v>46</v>
      </c>
      <c r="B29" s="127" t="s">
        <v>103</v>
      </c>
      <c r="C29" s="127" t="s">
        <v>117</v>
      </c>
      <c r="D29" s="127">
        <v>77.45</v>
      </c>
      <c r="E29" s="127">
        <f>52.7*1.1</f>
        <v>57.970000000000006</v>
      </c>
      <c r="F29" s="127">
        <v>52.966000000000001</v>
      </c>
      <c r="G29" s="124">
        <v>1.0229999999999999</v>
      </c>
      <c r="H29" s="128">
        <f t="shared" si="1"/>
        <v>60.783337500000002</v>
      </c>
    </row>
    <row r="30" spans="1:8" x14ac:dyDescent="0.2">
      <c r="A30" s="122" t="s">
        <v>125</v>
      </c>
      <c r="B30" s="123" t="s">
        <v>103</v>
      </c>
      <c r="C30" s="123" t="s">
        <v>117</v>
      </c>
      <c r="D30" s="123">
        <f>+E$1</f>
        <v>193.69591919999999</v>
      </c>
      <c r="E30" s="123">
        <v>85.06</v>
      </c>
      <c r="F30" s="123">
        <v>76.653999999999996</v>
      </c>
      <c r="G30" s="124">
        <v>1.0229999999999999</v>
      </c>
      <c r="H30" s="128">
        <f t="shared" si="1"/>
        <v>109.1297313354</v>
      </c>
    </row>
    <row r="31" spans="1:8" x14ac:dyDescent="0.2">
      <c r="A31" s="126" t="s">
        <v>126</v>
      </c>
      <c r="B31" s="127" t="s">
        <v>103</v>
      </c>
      <c r="C31" s="127" t="s">
        <v>117</v>
      </c>
      <c r="D31" s="127">
        <v>51.63</v>
      </c>
      <c r="E31" s="127">
        <f>38.09*1.1</f>
        <v>41.899000000000008</v>
      </c>
      <c r="F31" s="127">
        <v>36.834000000000003</v>
      </c>
      <c r="G31" s="124">
        <v>1.0229999999999999</v>
      </c>
      <c r="H31" s="128">
        <f t="shared" si="1"/>
        <v>42.096122500000007</v>
      </c>
    </row>
    <row r="32" spans="1:8" x14ac:dyDescent="0.2">
      <c r="A32" s="122" t="s">
        <v>124</v>
      </c>
      <c r="B32" s="123" t="s">
        <v>104</v>
      </c>
      <c r="C32" s="123" t="s">
        <v>118</v>
      </c>
      <c r="D32" s="123">
        <v>30.846022730639994</v>
      </c>
      <c r="E32" s="123">
        <f>17.29*1.1</f>
        <v>19.019000000000002</v>
      </c>
      <c r="F32" s="123">
        <v>17.905000000000001</v>
      </c>
      <c r="G32" s="124">
        <v>1.0229999999999999</v>
      </c>
      <c r="H32" s="128">
        <f t="shared" si="1"/>
        <v>21.59612031336118</v>
      </c>
    </row>
    <row r="33" spans="1:8" x14ac:dyDescent="0.2">
      <c r="A33" s="126" t="s">
        <v>46</v>
      </c>
      <c r="B33" s="127" t="s">
        <v>104</v>
      </c>
      <c r="C33" s="127" t="s">
        <v>118</v>
      </c>
      <c r="D33" s="127">
        <v>77.45</v>
      </c>
      <c r="E33" s="127">
        <f>52.7*1.1</f>
        <v>57.970000000000006</v>
      </c>
      <c r="F33" s="127">
        <v>54.893000000000001</v>
      </c>
      <c r="G33" s="124">
        <v>1.0229999999999999</v>
      </c>
      <c r="H33" s="128">
        <f t="shared" si="1"/>
        <v>61.746837499999998</v>
      </c>
    </row>
    <row r="34" spans="1:8" x14ac:dyDescent="0.2">
      <c r="A34" s="122" t="s">
        <v>125</v>
      </c>
      <c r="B34" s="123" t="s">
        <v>104</v>
      </c>
      <c r="C34" s="123" t="s">
        <v>118</v>
      </c>
      <c r="D34" s="123">
        <f>+E$1</f>
        <v>193.69591919999999</v>
      </c>
      <c r="E34" s="123">
        <v>85.06</v>
      </c>
      <c r="F34" s="123">
        <v>78.968000000000004</v>
      </c>
      <c r="G34" s="124">
        <v>1.0229999999999999</v>
      </c>
      <c r="H34" s="128">
        <f t="shared" si="1"/>
        <v>110.28673133539999</v>
      </c>
    </row>
    <row r="35" spans="1:8" x14ac:dyDescent="0.2">
      <c r="A35" s="126" t="s">
        <v>126</v>
      </c>
      <c r="B35" s="127" t="s">
        <v>104</v>
      </c>
      <c r="C35" s="127" t="s">
        <v>118</v>
      </c>
      <c r="D35" s="127">
        <v>51.63</v>
      </c>
      <c r="E35" s="127">
        <f>38.09*1.1</f>
        <v>41.899000000000008</v>
      </c>
      <c r="F35" s="127">
        <v>39.594999999999999</v>
      </c>
      <c r="G35" s="124">
        <v>1.0229999999999999</v>
      </c>
      <c r="H35" s="128">
        <f t="shared" si="1"/>
        <v>43.476622500000005</v>
      </c>
    </row>
    <row r="36" spans="1:8" x14ac:dyDescent="0.2">
      <c r="A36" s="122" t="s">
        <v>124</v>
      </c>
      <c r="B36" s="123" t="s">
        <v>105</v>
      </c>
      <c r="C36" s="123" t="s">
        <v>119</v>
      </c>
      <c r="D36" s="123">
        <v>30.846022730639994</v>
      </c>
      <c r="E36" s="123">
        <f>17.29*1.1</f>
        <v>19.019000000000002</v>
      </c>
      <c r="F36" s="123">
        <v>17.085999999999999</v>
      </c>
      <c r="G36" s="124">
        <v>1.0229999999999999</v>
      </c>
      <c r="H36" s="128">
        <f t="shared" si="1"/>
        <v>21.186620313361178</v>
      </c>
    </row>
    <row r="37" spans="1:8" x14ac:dyDescent="0.2">
      <c r="A37" s="126" t="s">
        <v>46</v>
      </c>
      <c r="B37" s="127" t="s">
        <v>105</v>
      </c>
      <c r="C37" s="127" t="s">
        <v>119</v>
      </c>
      <c r="D37" s="127">
        <v>77.45</v>
      </c>
      <c r="E37" s="127">
        <f>52.7*1.1</f>
        <v>57.970000000000006</v>
      </c>
      <c r="F37" s="127">
        <v>53.777999999999999</v>
      </c>
      <c r="G37" s="124">
        <v>1.0229999999999999</v>
      </c>
      <c r="H37" s="128">
        <f t="shared" si="1"/>
        <v>61.189337499999993</v>
      </c>
    </row>
    <row r="38" spans="1:8" x14ac:dyDescent="0.2">
      <c r="A38" s="122" t="s">
        <v>125</v>
      </c>
      <c r="B38" s="123" t="s">
        <v>105</v>
      </c>
      <c r="C38" s="123" t="s">
        <v>119</v>
      </c>
      <c r="D38" s="123">
        <f>+E$1</f>
        <v>193.69591919999999</v>
      </c>
      <c r="E38" s="123">
        <v>85.06</v>
      </c>
      <c r="F38" s="123">
        <v>73.844999999999999</v>
      </c>
      <c r="G38" s="124">
        <v>1.0229999999999999</v>
      </c>
      <c r="H38" s="128">
        <f t="shared" si="1"/>
        <v>107.7252313354</v>
      </c>
    </row>
    <row r="39" spans="1:8" x14ac:dyDescent="0.2">
      <c r="A39" s="111" t="s">
        <v>126</v>
      </c>
      <c r="B39" s="112" t="s">
        <v>105</v>
      </c>
      <c r="C39" s="112" t="s">
        <v>119</v>
      </c>
      <c r="D39" s="112">
        <v>51.63</v>
      </c>
      <c r="E39" s="112">
        <f>38.09*1.1</f>
        <v>41.899000000000008</v>
      </c>
      <c r="F39" s="112">
        <v>37.637</v>
      </c>
      <c r="G39" s="124">
        <v>1.0229999999999999</v>
      </c>
      <c r="H39" s="128">
        <f t="shared" si="1"/>
        <v>42.497622500000006</v>
      </c>
    </row>
    <row r="41" spans="1:8" x14ac:dyDescent="0.2">
      <c r="A41" s="38" t="s">
        <v>129</v>
      </c>
    </row>
    <row r="42" spans="1:8" x14ac:dyDescent="0.2">
      <c r="A42" s="107" t="s">
        <v>120</v>
      </c>
      <c r="B42" s="108" t="s">
        <v>121</v>
      </c>
      <c r="C42" s="108" t="s">
        <v>122</v>
      </c>
      <c r="D42" s="108" t="s">
        <v>123</v>
      </c>
      <c r="E42" s="108" t="s">
        <v>108</v>
      </c>
      <c r="F42" s="108" t="s">
        <v>109</v>
      </c>
      <c r="G42" s="108" t="s">
        <v>110</v>
      </c>
      <c r="H42" s="115" t="s">
        <v>111</v>
      </c>
    </row>
    <row r="43" spans="1:8" x14ac:dyDescent="0.2">
      <c r="A43" s="109" t="s">
        <v>124</v>
      </c>
      <c r="B43" s="110" t="s">
        <v>106</v>
      </c>
      <c r="C43" s="110" t="s">
        <v>128</v>
      </c>
      <c r="D43" s="110">
        <v>30.846022730639994</v>
      </c>
      <c r="E43" s="110">
        <f>17.29*1.1</f>
        <v>19.019000000000002</v>
      </c>
      <c r="F43" s="110">
        <v>17.59</v>
      </c>
      <c r="G43" s="117">
        <v>1.0249999999999999</v>
      </c>
      <c r="H43" s="116">
        <f>0.25*D43*G43+0.25*E43*G43+0.5*F43</f>
        <v>21.572912074726496</v>
      </c>
    </row>
    <row r="44" spans="1:8" x14ac:dyDescent="0.2">
      <c r="A44" s="111" t="s">
        <v>46</v>
      </c>
      <c r="B44" s="112" t="s">
        <v>106</v>
      </c>
      <c r="C44" s="112" t="s">
        <v>128</v>
      </c>
      <c r="D44" s="112">
        <v>77.45</v>
      </c>
      <c r="E44" s="112">
        <f>52.7*1.1</f>
        <v>57.970000000000006</v>
      </c>
      <c r="F44" s="112">
        <v>58.06</v>
      </c>
      <c r="G44" s="118">
        <v>1.0249999999999999</v>
      </c>
      <c r="H44" s="113">
        <f>0.25*D44*G44+0.25*E44*G44+0.5*F44</f>
        <v>63.731375</v>
      </c>
    </row>
    <row r="45" spans="1:8" x14ac:dyDescent="0.2">
      <c r="A45" s="109" t="s">
        <v>125</v>
      </c>
      <c r="B45" s="110" t="s">
        <v>106</v>
      </c>
      <c r="C45" s="110" t="s">
        <v>128</v>
      </c>
      <c r="D45" s="110">
        <f>+E$1</f>
        <v>193.69591919999999</v>
      </c>
      <c r="E45" s="110">
        <f>77.6*1.1</f>
        <v>85.36</v>
      </c>
      <c r="F45" s="110">
        <v>81.09</v>
      </c>
      <c r="G45" s="117">
        <v>1.0249999999999999</v>
      </c>
      <c r="H45" s="114">
        <f>0.25*D45*G45+0.25*E45*G45+0.5*F45</f>
        <v>112.05307929499999</v>
      </c>
    </row>
    <row r="46" spans="1:8" x14ac:dyDescent="0.2">
      <c r="A46" s="111" t="s">
        <v>126</v>
      </c>
      <c r="B46" s="112" t="s">
        <v>106</v>
      </c>
      <c r="C46" s="112" t="s">
        <v>128</v>
      </c>
      <c r="D46" s="112">
        <v>51.63</v>
      </c>
      <c r="E46" s="112">
        <f>38.09*1.1</f>
        <v>41.899000000000008</v>
      </c>
      <c r="F46" s="112">
        <v>38.86</v>
      </c>
      <c r="G46" s="118">
        <v>1.0249999999999999</v>
      </c>
      <c r="H46" s="113">
        <f>0.25*D46*G46+0.25*E46*G46+0.5*F46</f>
        <v>43.396806249999997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2" workbookViewId="0">
      <selection activeCell="B17" sqref="B17"/>
    </sheetView>
  </sheetViews>
  <sheetFormatPr defaultRowHeight="12.75" x14ac:dyDescent="0.2"/>
  <cols>
    <col min="8" max="8" width="13.42578125" customWidth="1"/>
    <col min="9" max="9" width="13.28515625" customWidth="1"/>
    <col min="10" max="10" width="12.42578125" customWidth="1"/>
    <col min="15" max="15" width="15.7109375" customWidth="1"/>
    <col min="16" max="16" width="14.28515625" customWidth="1"/>
    <col min="17" max="17" width="14.710937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25.287740626722353</v>
      </c>
      <c r="C17" s="22"/>
      <c r="D17" s="22"/>
      <c r="E17" s="22"/>
      <c r="F17" s="136" t="s">
        <v>58</v>
      </c>
      <c r="G17" s="137"/>
      <c r="H17" s="138"/>
      <c r="I17" s="19"/>
      <c r="J17" s="19"/>
      <c r="K17" s="19"/>
      <c r="L17" s="19"/>
      <c r="M17" s="19"/>
      <c r="N17" s="19"/>
      <c r="O17" s="19"/>
      <c r="P17" s="19"/>
      <c r="Q17" s="19"/>
      <c r="R17" s="18"/>
    </row>
    <row r="18" spans="1:18" x14ac:dyDescent="0.2">
      <c r="A18" s="42" t="s">
        <v>46</v>
      </c>
      <c r="B18" s="48">
        <v>68.645674999999997</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141.60546267079999</v>
      </c>
      <c r="C19" s="22"/>
      <c r="D19" s="22"/>
      <c r="E19" s="22"/>
      <c r="F19" s="141" t="s">
        <v>59</v>
      </c>
      <c r="G19" s="142"/>
      <c r="H19" s="54">
        <v>20.77</v>
      </c>
      <c r="I19" s="19"/>
      <c r="J19" s="19"/>
      <c r="K19" s="19"/>
      <c r="L19" s="19"/>
      <c r="M19" s="19"/>
      <c r="N19" s="19"/>
      <c r="O19" s="19"/>
      <c r="P19" s="19"/>
      <c r="Q19" s="19"/>
      <c r="R19" s="18"/>
    </row>
    <row r="20" spans="1:18" x14ac:dyDescent="0.2">
      <c r="A20" s="42" t="s">
        <v>29</v>
      </c>
      <c r="B20" s="48">
        <v>47.358744999999999</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141.60546267079999</v>
      </c>
      <c r="D25" s="7"/>
      <c r="E25" s="6">
        <v>0.65</v>
      </c>
      <c r="F25" s="6">
        <v>0.4</v>
      </c>
      <c r="G25" s="6">
        <v>0.28999999999999998</v>
      </c>
      <c r="H25" s="7">
        <f t="shared" ref="H25:J34" si="0">$B25*$C25*E25*12</f>
        <v>5964422.0876940964</v>
      </c>
      <c r="I25" s="7">
        <f t="shared" si="0"/>
        <v>3670413.5924271364</v>
      </c>
      <c r="J25" s="7">
        <f t="shared" si="0"/>
        <v>2661049.8545096735</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212.40819400620001</v>
      </c>
      <c r="D26" s="7"/>
      <c r="E26" s="6">
        <v>0.59</v>
      </c>
      <c r="F26" s="6">
        <v>0.35</v>
      </c>
      <c r="G26" s="6">
        <v>0.25</v>
      </c>
      <c r="H26" s="7">
        <f t="shared" si="0"/>
        <v>63161.700569683628</v>
      </c>
      <c r="I26" s="7">
        <f t="shared" si="0"/>
        <v>37468.80542269368</v>
      </c>
      <c r="J26" s="7">
        <f t="shared" si="0"/>
        <v>26763.432444781203</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166.89320329752235</v>
      </c>
      <c r="D27" s="7"/>
      <c r="E27" s="6">
        <v>0.59</v>
      </c>
      <c r="F27" s="6">
        <v>0.35</v>
      </c>
      <c r="G27" s="6">
        <v>0.25</v>
      </c>
      <c r="H27" s="7">
        <f t="shared" si="0"/>
        <v>8943559.7627733424</v>
      </c>
      <c r="I27" s="7">
        <f t="shared" si="0"/>
        <v>5305501.5541875754</v>
      </c>
      <c r="J27" s="7">
        <f t="shared" si="0"/>
        <v>3789643.96727684</v>
      </c>
      <c r="L27" s="14">
        <f>+B$18*2*H$19/H$18</f>
        <v>18.408917621045834</v>
      </c>
      <c r="M27" s="6">
        <v>0.18</v>
      </c>
      <c r="N27" s="6">
        <v>0.13</v>
      </c>
      <c r="O27" s="7">
        <f t="shared" si="2"/>
        <v>300968.13054318319</v>
      </c>
      <c r="P27" s="7">
        <f t="shared" si="2"/>
        <v>217365.87205896564</v>
      </c>
    </row>
    <row r="28" spans="1:18" x14ac:dyDescent="0.2">
      <c r="A28" t="str">
        <f t="shared" si="1"/>
        <v>SE + high flow + portable gas¹</v>
      </c>
      <c r="B28" s="49">
        <f t="shared" si="1"/>
        <v>43</v>
      </c>
      <c r="C28" s="21">
        <f>+IF((B$19*1.5 &gt;B$19+B$17),B$19*1.5,B$19+B$17)</f>
        <v>212.40819400620001</v>
      </c>
      <c r="D28" s="7"/>
      <c r="E28" s="6">
        <v>0.59</v>
      </c>
      <c r="F28" s="6">
        <v>0.35</v>
      </c>
      <c r="G28" s="6">
        <v>0.25</v>
      </c>
      <c r="H28" s="7">
        <f t="shared" si="0"/>
        <v>64665.550583247532</v>
      </c>
      <c r="I28" s="7">
        <f t="shared" si="0"/>
        <v>38360.919837519723</v>
      </c>
      <c r="J28" s="7">
        <f t="shared" si="0"/>
        <v>27400.657026799803</v>
      </c>
      <c r="L28" s="14">
        <f>+B$18*2*H$19/H$18</f>
        <v>18.408917621045834</v>
      </c>
      <c r="M28" s="6">
        <v>0.18</v>
      </c>
      <c r="N28" s="6">
        <v>0.13</v>
      </c>
      <c r="O28" s="7">
        <f t="shared" si="2"/>
        <v>1709.8202686427371</v>
      </c>
      <c r="P28" s="7">
        <f t="shared" si="2"/>
        <v>1234.8701940197548</v>
      </c>
    </row>
    <row r="29" spans="1:18" x14ac:dyDescent="0.2">
      <c r="A29" t="str">
        <f t="shared" si="1"/>
        <v>SE + portable liquid</v>
      </c>
      <c r="B29" s="49">
        <f t="shared" si="1"/>
        <v>81</v>
      </c>
      <c r="C29" s="20">
        <f>+B19+B17</f>
        <v>166.89320329752235</v>
      </c>
      <c r="D29" s="7"/>
      <c r="E29" s="6">
        <v>0.59</v>
      </c>
      <c r="F29" s="6">
        <v>0.35</v>
      </c>
      <c r="G29" s="6">
        <v>0.25</v>
      </c>
      <c r="H29" s="7">
        <f t="shared" si="0"/>
        <v>95709.914227063098</v>
      </c>
      <c r="I29" s="7">
        <f t="shared" si="0"/>
        <v>56777.067761817096</v>
      </c>
      <c r="J29" s="7">
        <f t="shared" si="0"/>
        <v>40555.048401297929</v>
      </c>
      <c r="L29" s="14">
        <f>+B$18*2*H$19/H$18</f>
        <v>18.408917621045834</v>
      </c>
      <c r="M29" s="6">
        <v>0.18</v>
      </c>
      <c r="N29" s="6">
        <v>0.13</v>
      </c>
      <c r="O29" s="7">
        <f t="shared" si="2"/>
        <v>3220.824226978179</v>
      </c>
      <c r="P29" s="7">
        <f t="shared" si="2"/>
        <v>2326.1508305953516</v>
      </c>
      <c r="R29" s="4"/>
    </row>
    <row r="30" spans="1:18" x14ac:dyDescent="0.2">
      <c r="A30" t="str">
        <f t="shared" si="1"/>
        <v>SE + high flow + portable liquid¹</v>
      </c>
      <c r="B30" s="49">
        <f t="shared" si="1"/>
        <v>1</v>
      </c>
      <c r="C30" s="21">
        <f>+IF((B$19*1.5 &gt;B$19+B$17),B$19*1.5,B$19+B$17)</f>
        <v>212.40819400620001</v>
      </c>
      <c r="D30" s="7"/>
      <c r="E30" s="6">
        <v>0.59</v>
      </c>
      <c r="F30" s="6">
        <v>0.35</v>
      </c>
      <c r="G30" s="6">
        <v>0.25</v>
      </c>
      <c r="H30" s="7">
        <f t="shared" si="0"/>
        <v>1503.850013563896</v>
      </c>
      <c r="I30" s="7">
        <f t="shared" si="0"/>
        <v>892.11441482604005</v>
      </c>
      <c r="J30" s="7">
        <f t="shared" si="0"/>
        <v>637.22458201860002</v>
      </c>
      <c r="L30" s="14">
        <f>+B$18*2*H$19/H$18</f>
        <v>18.408917621045834</v>
      </c>
      <c r="M30" s="6">
        <v>0.18</v>
      </c>
      <c r="N30" s="6">
        <v>0.13</v>
      </c>
      <c r="O30" s="7">
        <f t="shared" si="2"/>
        <v>39.763262061459002</v>
      </c>
      <c r="P30" s="7">
        <f t="shared" si="2"/>
        <v>28.717911488831504</v>
      </c>
      <c r="R30" s="4"/>
    </row>
    <row r="31" spans="1:18" x14ac:dyDescent="0.2">
      <c r="A31" t="str">
        <f t="shared" si="1"/>
        <v>SE + OGPE</v>
      </c>
      <c r="B31" s="49">
        <f t="shared" si="1"/>
        <v>2519</v>
      </c>
      <c r="C31" s="20">
        <f>+B19+B17</f>
        <v>166.89320329752235</v>
      </c>
      <c r="D31" s="7"/>
      <c r="E31" s="6">
        <v>0.59</v>
      </c>
      <c r="F31" s="6">
        <v>0.35</v>
      </c>
      <c r="G31" s="6">
        <v>0.25</v>
      </c>
      <c r="H31" s="7">
        <f t="shared" si="0"/>
        <v>2976460.1720737279</v>
      </c>
      <c r="I31" s="7">
        <f t="shared" si="0"/>
        <v>1765696.7122471267</v>
      </c>
      <c r="J31" s="7">
        <f t="shared" si="0"/>
        <v>1261211.9373193763</v>
      </c>
      <c r="L31" s="14">
        <f>+B$18*2*H$19/H$18</f>
        <v>18.408917621045834</v>
      </c>
      <c r="M31" s="6">
        <v>0.18</v>
      </c>
      <c r="N31" s="6">
        <v>0.13</v>
      </c>
      <c r="O31" s="7">
        <f t="shared" si="2"/>
        <v>100163.65713281522</v>
      </c>
      <c r="P31" s="7">
        <f t="shared" si="2"/>
        <v>72340.419040366556</v>
      </c>
      <c r="R31" s="4"/>
    </row>
    <row r="32" spans="1:18" x14ac:dyDescent="0.2">
      <c r="A32" t="str">
        <f t="shared" si="1"/>
        <v>SE + high flow + OGPE¹</v>
      </c>
      <c r="B32" s="49">
        <f t="shared" si="1"/>
        <v>15</v>
      </c>
      <c r="C32" s="21">
        <f>+IF((B$19*1.5 &gt;B$19+B$17),B$19*1.5,B$19+B$17)</f>
        <v>212.40819400620001</v>
      </c>
      <c r="D32" s="7"/>
      <c r="E32" s="6">
        <v>0.59</v>
      </c>
      <c r="F32" s="6">
        <v>0.35</v>
      </c>
      <c r="G32" s="6">
        <v>0.25</v>
      </c>
      <c r="H32" s="7">
        <f t="shared" si="0"/>
        <v>22557.75020345844</v>
      </c>
      <c r="I32" s="7">
        <f t="shared" si="0"/>
        <v>13381.716222390598</v>
      </c>
      <c r="J32" s="7">
        <f t="shared" si="0"/>
        <v>9558.3687302790004</v>
      </c>
      <c r="L32" s="14">
        <v>0</v>
      </c>
      <c r="M32" s="6">
        <v>0.18</v>
      </c>
      <c r="N32" s="6">
        <v>0.13</v>
      </c>
      <c r="O32" s="7">
        <f t="shared" si="2"/>
        <v>0</v>
      </c>
      <c r="P32" s="7">
        <f t="shared" si="2"/>
        <v>0</v>
      </c>
      <c r="R32" s="4"/>
    </row>
    <row r="33" spans="1:18" x14ac:dyDescent="0.2">
      <c r="A33" t="str">
        <f t="shared" si="1"/>
        <v>portable gas or liquid only</v>
      </c>
      <c r="B33" s="49">
        <f t="shared" si="1"/>
        <v>520</v>
      </c>
      <c r="C33" s="20">
        <f>+B17</f>
        <v>25.287740626722353</v>
      </c>
      <c r="D33" s="7"/>
      <c r="E33" s="6">
        <v>0.59</v>
      </c>
      <c r="F33" s="6">
        <v>0.35</v>
      </c>
      <c r="G33" s="6">
        <v>0.25</v>
      </c>
      <c r="H33" s="7">
        <f t="shared" si="0"/>
        <v>93099.345891341014</v>
      </c>
      <c r="I33" s="7">
        <f t="shared" si="0"/>
        <v>55228.425528761618</v>
      </c>
      <c r="J33" s="7">
        <f t="shared" si="0"/>
        <v>39448.875377686869</v>
      </c>
      <c r="L33" s="14">
        <f>+B$18*2*H$19/H$18</f>
        <v>18.408917621045834</v>
      </c>
      <c r="M33" s="6">
        <v>0.18</v>
      </c>
      <c r="N33" s="6">
        <v>0.13</v>
      </c>
      <c r="O33" s="7">
        <f t="shared" si="2"/>
        <v>20676.896271958682</v>
      </c>
      <c r="P33" s="7">
        <f t="shared" si="2"/>
        <v>14933.313974192382</v>
      </c>
      <c r="R33" s="4"/>
    </row>
    <row r="34" spans="1:18" x14ac:dyDescent="0.2">
      <c r="A34" t="str">
        <f t="shared" si="1"/>
        <v>transfill only</v>
      </c>
      <c r="B34" s="49">
        <f t="shared" si="1"/>
        <v>196</v>
      </c>
      <c r="C34" s="20">
        <f>+B17</f>
        <v>25.287740626722353</v>
      </c>
      <c r="D34" s="7"/>
      <c r="E34" s="6">
        <v>0.59</v>
      </c>
      <c r="F34" s="6">
        <v>0.35</v>
      </c>
      <c r="G34" s="6">
        <v>0.25</v>
      </c>
      <c r="H34" s="7">
        <f t="shared" si="0"/>
        <v>35091.291912890068</v>
      </c>
      <c r="I34" s="7">
        <f t="shared" si="0"/>
        <v>20816.868083917838</v>
      </c>
      <c r="J34" s="7">
        <f t="shared" si="0"/>
        <v>14869.191488512744</v>
      </c>
      <c r="L34" s="14">
        <f>+B$18*2*H$19/H$18</f>
        <v>18.408917621045834</v>
      </c>
      <c r="M34" s="6">
        <v>0.18</v>
      </c>
      <c r="N34" s="6">
        <v>0.13</v>
      </c>
      <c r="O34" s="7">
        <f t="shared" si="2"/>
        <v>7793.5993640459646</v>
      </c>
      <c r="P34" s="7">
        <f t="shared" si="2"/>
        <v>5628.7106518109749</v>
      </c>
      <c r="R34" s="4"/>
    </row>
    <row r="35" spans="1:18" x14ac:dyDescent="0.2">
      <c r="A35" t="s">
        <v>6</v>
      </c>
      <c r="B35" s="8">
        <f>+SUM(B25:B34)</f>
        <v>16386</v>
      </c>
      <c r="H35" s="4">
        <f>+SUM(H25:H34)</f>
        <v>18260231.425942414</v>
      </c>
      <c r="I35" s="4">
        <f t="shared" ref="I35:J35" si="3">+SUM(I25:I34)</f>
        <v>10964537.776133766</v>
      </c>
      <c r="J35" s="4">
        <f t="shared" si="3"/>
        <v>7871138.557157265</v>
      </c>
      <c r="L35" s="14" t="s">
        <v>7</v>
      </c>
      <c r="M35" s="6"/>
      <c r="N35" s="6"/>
      <c r="O35" s="4">
        <f t="shared" ref="O35" si="4">+SUM(O25:O34)</f>
        <v>434572.69106968539</v>
      </c>
      <c r="P35" s="4">
        <f t="shared" ref="P35" si="5">+SUM(P25:P34)</f>
        <v>313858.0546614395</v>
      </c>
      <c r="Q35" s="4">
        <f>SUM(H35:P35)</f>
        <v>37844338.504964568</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141.60546267079999</v>
      </c>
      <c r="E40" s="6">
        <v>0.65</v>
      </c>
      <c r="F40" s="6">
        <v>0.4</v>
      </c>
      <c r="G40" s="6">
        <v>0.28999999999999998</v>
      </c>
      <c r="H40" s="7">
        <f t="shared" ref="H40:J49" si="6">$B40*$C40*E40*12</f>
        <v>5964422.0876940964</v>
      </c>
      <c r="I40" s="7">
        <f t="shared" si="6"/>
        <v>3670413.5924271364</v>
      </c>
      <c r="J40" s="7">
        <f t="shared" si="6"/>
        <v>2661049.8545096735</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212.40819400620001</v>
      </c>
      <c r="E41" s="6">
        <v>0.59</v>
      </c>
      <c r="F41" s="6">
        <v>0.35</v>
      </c>
      <c r="G41" s="6">
        <v>0.25</v>
      </c>
      <c r="H41" s="7">
        <f t="shared" si="6"/>
        <v>63161.700569683628</v>
      </c>
      <c r="I41" s="7">
        <f t="shared" si="6"/>
        <v>37468.80542269368</v>
      </c>
      <c r="J41" s="7">
        <f t="shared" si="6"/>
        <v>26763.432444781203</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166.89320329752235</v>
      </c>
      <c r="E42" s="6">
        <v>0.59</v>
      </c>
      <c r="F42" s="6">
        <v>0.35</v>
      </c>
      <c r="G42" s="6">
        <v>0.25</v>
      </c>
      <c r="H42" s="7">
        <f t="shared" si="6"/>
        <v>8943559.7627733424</v>
      </c>
      <c r="I42" s="7">
        <f t="shared" si="6"/>
        <v>5305501.5541875754</v>
      </c>
      <c r="J42" s="7">
        <f t="shared" si="6"/>
        <v>3789643.96727684</v>
      </c>
      <c r="L42" s="14">
        <f>+B$18</f>
        <v>68.645674999999997</v>
      </c>
      <c r="M42" s="6">
        <v>0.18</v>
      </c>
      <c r="N42" s="6">
        <v>0.13</v>
      </c>
      <c r="O42" s="7">
        <f t="shared" si="8"/>
        <v>1122290.886402</v>
      </c>
      <c r="P42" s="7">
        <f t="shared" si="8"/>
        <v>810543.41795700009</v>
      </c>
    </row>
    <row r="43" spans="1:18" x14ac:dyDescent="0.2">
      <c r="A43" t="str">
        <f t="shared" si="7"/>
        <v>SE + high flow + portable gas¹</v>
      </c>
      <c r="B43" s="5">
        <f t="shared" si="7"/>
        <v>43</v>
      </c>
      <c r="C43" s="20">
        <f t="shared" si="7"/>
        <v>212.40819400620001</v>
      </c>
      <c r="E43" s="6">
        <v>0.59</v>
      </c>
      <c r="F43" s="6">
        <v>0.35</v>
      </c>
      <c r="G43" s="6">
        <v>0.25</v>
      </c>
      <c r="H43" s="7">
        <f t="shared" si="6"/>
        <v>64665.550583247532</v>
      </c>
      <c r="I43" s="7">
        <f t="shared" si="6"/>
        <v>38360.919837519723</v>
      </c>
      <c r="J43" s="7">
        <f t="shared" si="6"/>
        <v>27400.657026799803</v>
      </c>
      <c r="L43" s="14">
        <f>+B$18</f>
        <v>68.645674999999997</v>
      </c>
      <c r="M43" s="6">
        <v>0.18</v>
      </c>
      <c r="N43" s="6">
        <v>0.13</v>
      </c>
      <c r="O43" s="7">
        <f t="shared" si="8"/>
        <v>6375.8102939999999</v>
      </c>
      <c r="P43" s="7">
        <f t="shared" si="8"/>
        <v>4604.7518790000004</v>
      </c>
    </row>
    <row r="44" spans="1:18" x14ac:dyDescent="0.2">
      <c r="A44" t="str">
        <f t="shared" si="7"/>
        <v>SE + portable liquid</v>
      </c>
      <c r="B44" s="5">
        <f t="shared" si="7"/>
        <v>81</v>
      </c>
      <c r="C44" s="20">
        <f>+B19+B20</f>
        <v>188.96420767079999</v>
      </c>
      <c r="E44" s="6">
        <v>0.59</v>
      </c>
      <c r="F44" s="6">
        <v>0.35</v>
      </c>
      <c r="G44" s="6">
        <v>0.25</v>
      </c>
      <c r="H44" s="7">
        <f>$B44*$C44*E44*12</f>
        <v>108367.19381505038</v>
      </c>
      <c r="I44" s="7">
        <f>$B44*$C44*F44*12</f>
        <v>64285.623449606152</v>
      </c>
      <c r="J44" s="7">
        <f t="shared" si="6"/>
        <v>45918.302464004402</v>
      </c>
      <c r="L44" s="14">
        <f t="shared" ref="L44" si="9">+B$18</f>
        <v>68.645674999999997</v>
      </c>
      <c r="M44" s="6">
        <v>0.18</v>
      </c>
      <c r="N44" s="6">
        <v>0.13</v>
      </c>
      <c r="O44" s="7">
        <f t="shared" si="8"/>
        <v>12010.247297999998</v>
      </c>
      <c r="P44" s="7">
        <f t="shared" si="8"/>
        <v>8674.0674930000005</v>
      </c>
      <c r="R44" s="4"/>
    </row>
    <row r="45" spans="1:18" x14ac:dyDescent="0.2">
      <c r="A45" t="str">
        <f>+A30</f>
        <v>SE + high flow + portable liquid¹</v>
      </c>
      <c r="B45" s="5">
        <f t="shared" si="7"/>
        <v>1</v>
      </c>
      <c r="C45" s="21">
        <f>+IF((B$19*1.5 &gt;B$19+B$17),B$19*1.5,B$19+B$17)</f>
        <v>212.40819400620001</v>
      </c>
      <c r="E45" s="6">
        <v>0.59</v>
      </c>
      <c r="F45" s="6">
        <v>0.35</v>
      </c>
      <c r="G45" s="6">
        <v>0.25</v>
      </c>
      <c r="H45" s="7">
        <f t="shared" ref="H45:I49" si="10">$B45*$C45*E45*12</f>
        <v>1503.850013563896</v>
      </c>
      <c r="I45" s="7">
        <f t="shared" si="10"/>
        <v>892.11441482604005</v>
      </c>
      <c r="J45" s="7">
        <f t="shared" si="6"/>
        <v>637.22458201860002</v>
      </c>
      <c r="L45" s="14">
        <f>+B18*1.5</f>
        <v>102.9685125</v>
      </c>
      <c r="M45" s="6">
        <v>0.18</v>
      </c>
      <c r="N45" s="6">
        <v>0.13</v>
      </c>
      <c r="O45" s="7">
        <f t="shared" si="8"/>
        <v>222.41198700000001</v>
      </c>
      <c r="P45" s="7">
        <f t="shared" si="8"/>
        <v>160.63087950000002</v>
      </c>
      <c r="R45" s="4"/>
    </row>
    <row r="46" spans="1:18" x14ac:dyDescent="0.2">
      <c r="A46" t="str">
        <f>+A31</f>
        <v>SE + OGPE</v>
      </c>
      <c r="B46" s="5">
        <f t="shared" si="7"/>
        <v>2519</v>
      </c>
      <c r="C46" s="20">
        <f>+B19+B20</f>
        <v>188.96420767079999</v>
      </c>
      <c r="E46" s="6">
        <v>0.59</v>
      </c>
      <c r="F46" s="6">
        <v>0.35</v>
      </c>
      <c r="G46" s="6">
        <v>0.25</v>
      </c>
      <c r="H46" s="7">
        <f t="shared" si="10"/>
        <v>3370085.9409890361</v>
      </c>
      <c r="I46" s="7">
        <f t="shared" si="10"/>
        <v>1999203.5243155297</v>
      </c>
      <c r="J46" s="7">
        <f t="shared" si="6"/>
        <v>1428002.5173682356</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212.40819400620001</v>
      </c>
      <c r="E47" s="6">
        <v>0.59</v>
      </c>
      <c r="F47" s="6">
        <v>0.35</v>
      </c>
      <c r="G47" s="6">
        <v>0.25</v>
      </c>
      <c r="H47" s="7">
        <f t="shared" si="10"/>
        <v>22557.75020345844</v>
      </c>
      <c r="I47" s="7">
        <f t="shared" si="10"/>
        <v>13381.716222390598</v>
      </c>
      <c r="J47" s="7">
        <f t="shared" si="6"/>
        <v>9558.3687302790004</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25.287740626722353</v>
      </c>
      <c r="E48" s="6">
        <v>0.59</v>
      </c>
      <c r="F48" s="6">
        <v>0.35</v>
      </c>
      <c r="G48" s="6">
        <v>0.25</v>
      </c>
      <c r="H48" s="7">
        <f t="shared" si="10"/>
        <v>93099.345891341014</v>
      </c>
      <c r="I48" s="7">
        <f t="shared" si="10"/>
        <v>55228.425528761618</v>
      </c>
      <c r="J48" s="7">
        <f t="shared" si="6"/>
        <v>39448.875377686869</v>
      </c>
      <c r="L48" s="14">
        <f>+B18</f>
        <v>68.645674999999997</v>
      </c>
      <c r="M48" s="6">
        <v>0.18</v>
      </c>
      <c r="N48" s="6">
        <v>0.13</v>
      </c>
      <c r="O48" s="7">
        <f t="shared" si="8"/>
        <v>77102.822159999996</v>
      </c>
      <c r="P48" s="7">
        <f t="shared" si="8"/>
        <v>55685.37156</v>
      </c>
      <c r="R48" s="4"/>
    </row>
    <row r="49" spans="1:18" x14ac:dyDescent="0.2">
      <c r="A49" t="str">
        <f t="shared" si="11"/>
        <v>transfill only</v>
      </c>
      <c r="B49" s="5">
        <f t="shared" si="7"/>
        <v>196</v>
      </c>
      <c r="C49" s="20">
        <f>+B20</f>
        <v>47.358744999999999</v>
      </c>
      <c r="E49" s="6">
        <v>0.59</v>
      </c>
      <c r="F49" s="6">
        <v>0.35</v>
      </c>
      <c r="G49" s="6">
        <v>0.25</v>
      </c>
      <c r="H49" s="7">
        <f t="shared" si="10"/>
        <v>65718.783261599994</v>
      </c>
      <c r="I49" s="7">
        <f t="shared" si="10"/>
        <v>38985.718884000002</v>
      </c>
      <c r="J49" s="7">
        <f t="shared" si="6"/>
        <v>27846.942060000001</v>
      </c>
      <c r="L49" s="14">
        <v>0</v>
      </c>
      <c r="M49" s="6">
        <v>0.18</v>
      </c>
      <c r="N49" s="6">
        <v>0.13</v>
      </c>
      <c r="O49" s="7">
        <f t="shared" si="8"/>
        <v>0</v>
      </c>
      <c r="P49" s="7">
        <f t="shared" si="8"/>
        <v>0</v>
      </c>
      <c r="R49" s="4"/>
    </row>
    <row r="50" spans="1:18" x14ac:dyDescent="0.2">
      <c r="A50" t="str">
        <f>+A35</f>
        <v>Total</v>
      </c>
      <c r="B50" s="8">
        <v>16386</v>
      </c>
      <c r="H50" s="4">
        <f>+SUM(H40:H49)</f>
        <v>18697141.965794418</v>
      </c>
      <c r="I50" s="4">
        <f t="shared" ref="I50:J50" si="12">+SUM(I40:I49)</f>
        <v>11223721.99469004</v>
      </c>
      <c r="J50" s="4">
        <f t="shared" si="12"/>
        <v>8056270.1418403182</v>
      </c>
      <c r="O50" s="4">
        <f t="shared" ref="O50:P50" si="13">+SUM(O40:O49)</f>
        <v>1218002.1781409997</v>
      </c>
      <c r="P50" s="4">
        <f t="shared" si="13"/>
        <v>879668.23976849997</v>
      </c>
      <c r="Q50" s="4">
        <f>SUM(H50:P50)</f>
        <v>40074804.520234272</v>
      </c>
    </row>
    <row r="51" spans="1:18" ht="13.5" thickBot="1" x14ac:dyDescent="0.25">
      <c r="B51" s="11"/>
      <c r="C51" s="24"/>
      <c r="I51" s="4" t="s">
        <v>7</v>
      </c>
      <c r="Q51" s="4">
        <f>Q50-Q35</f>
        <v>2230466.0152697042</v>
      </c>
      <c r="R51">
        <f>+Q51/Q35</f>
        <v>5.8937904674357118E-2</v>
      </c>
    </row>
    <row r="52" spans="1:18" ht="14.25" thickTop="1" thickBot="1" x14ac:dyDescent="0.25">
      <c r="A52" s="11"/>
      <c r="I52" s="13" t="s">
        <v>7</v>
      </c>
      <c r="O52" s="39" t="s">
        <v>20</v>
      </c>
      <c r="P52" s="40"/>
      <c r="Q52" s="51">
        <v>5.5640000000000002E-2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133.72999999999999</v>
      </c>
      <c r="E57" s="6">
        <v>0.65</v>
      </c>
      <c r="F57" s="6">
        <v>0.4</v>
      </c>
      <c r="G57" s="6">
        <v>0.28999999999999998</v>
      </c>
      <c r="H57" s="7">
        <f>$B57*$C57*E57*12</f>
        <v>5632707.5999999996</v>
      </c>
      <c r="I57" s="7">
        <f>$B57*$C57*F57*12</f>
        <v>3466281.5999999996</v>
      </c>
      <c r="J57" s="7">
        <f>$B57*$C57*G57*12</f>
        <v>2513054.16</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200.59</v>
      </c>
      <c r="E58" s="6">
        <v>0.59</v>
      </c>
      <c r="F58" s="6">
        <v>0.35</v>
      </c>
      <c r="G58" s="6">
        <v>0.25</v>
      </c>
      <c r="H58" s="7">
        <f t="shared" ref="H58:I60" si="18">$B58*$C58*E58*12</f>
        <v>59647.4424</v>
      </c>
      <c r="I58" s="7">
        <f t="shared" si="18"/>
        <v>35384.076000000001</v>
      </c>
      <c r="J58" s="7">
        <f>$B58*$C58*G58*12</f>
        <v>25274.340000000004</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157.61000000000001</v>
      </c>
      <c r="E59" s="6">
        <v>0.59</v>
      </c>
      <c r="F59" s="6">
        <v>0.35</v>
      </c>
      <c r="G59" s="6">
        <v>0.25</v>
      </c>
      <c r="H59" s="7">
        <f t="shared" si="18"/>
        <v>8446086.6371999998</v>
      </c>
      <c r="I59" s="7">
        <f t="shared" si="18"/>
        <v>5010390.3779999996</v>
      </c>
      <c r="J59" s="7">
        <f>$B59*$C59*G59*12</f>
        <v>3578850.2700000005</v>
      </c>
      <c r="L59" s="55">
        <f t="shared" si="16"/>
        <v>64.826229642999991</v>
      </c>
      <c r="M59" s="6">
        <v>0.18</v>
      </c>
      <c r="N59" s="6">
        <v>0.13</v>
      </c>
      <c r="O59" s="7">
        <f t="shared" si="19"/>
        <v>1059846.6214825925</v>
      </c>
      <c r="P59" s="7">
        <f t="shared" si="19"/>
        <v>765444.78218187252</v>
      </c>
    </row>
    <row r="60" spans="1:18" x14ac:dyDescent="0.2">
      <c r="A60" t="str">
        <f t="shared" si="15"/>
        <v>SE + high flow + portable gas¹</v>
      </c>
      <c r="B60">
        <f t="shared" si="14"/>
        <v>43</v>
      </c>
      <c r="C60" s="28">
        <f t="shared" si="17"/>
        <v>200.59</v>
      </c>
      <c r="E60" s="6">
        <v>0.59</v>
      </c>
      <c r="F60" s="6">
        <v>0.35</v>
      </c>
      <c r="G60" s="6">
        <v>0.25</v>
      </c>
      <c r="H60" s="7">
        <f t="shared" si="18"/>
        <v>61067.619600000005</v>
      </c>
      <c r="I60" s="7">
        <f t="shared" si="18"/>
        <v>36226.554000000004</v>
      </c>
      <c r="J60" s="7">
        <f>$B60*$C60*G60*12</f>
        <v>25876.11</v>
      </c>
      <c r="L60" s="55">
        <f t="shared" si="16"/>
        <v>64.826229642999991</v>
      </c>
      <c r="M60" s="6">
        <v>0.18</v>
      </c>
      <c r="N60" s="6">
        <v>0.13</v>
      </c>
      <c r="O60" s="7">
        <f t="shared" si="19"/>
        <v>6021.0602092418385</v>
      </c>
      <c r="P60" s="7">
        <f t="shared" si="19"/>
        <v>4348.5434844524398</v>
      </c>
    </row>
    <row r="61" spans="1:18" x14ac:dyDescent="0.2">
      <c r="A61" t="str">
        <f t="shared" si="15"/>
        <v>SE + portable liquid</v>
      </c>
      <c r="B61">
        <f t="shared" si="14"/>
        <v>81</v>
      </c>
      <c r="C61" s="28">
        <f t="shared" si="17"/>
        <v>178.45</v>
      </c>
      <c r="E61" s="6">
        <v>0.59</v>
      </c>
      <c r="F61" s="6">
        <v>0.35</v>
      </c>
      <c r="G61" s="6">
        <v>0.25</v>
      </c>
      <c r="H61" s="7">
        <f>$B61*$C61*E61*12</f>
        <v>102337.50599999998</v>
      </c>
      <c r="I61" s="7">
        <f>$B61*$C61*F61*12</f>
        <v>60708.689999999988</v>
      </c>
      <c r="J61" s="7">
        <f>$B61*$C61*G61*12</f>
        <v>43363.35</v>
      </c>
      <c r="L61" s="55">
        <f t="shared" si="16"/>
        <v>64.826229642999991</v>
      </c>
      <c r="M61" s="6">
        <v>0.18</v>
      </c>
      <c r="N61" s="6">
        <v>0.13</v>
      </c>
      <c r="O61" s="7">
        <f t="shared" si="19"/>
        <v>11341.997138339279</v>
      </c>
      <c r="P61" s="7">
        <f t="shared" si="19"/>
        <v>8191.4423776894791</v>
      </c>
    </row>
    <row r="62" spans="1:18" x14ac:dyDescent="0.2">
      <c r="A62" t="str">
        <f t="shared" si="15"/>
        <v>SE + high flow + portable liquid¹</v>
      </c>
      <c r="B62">
        <f>+B45</f>
        <v>1</v>
      </c>
      <c r="C62" s="28">
        <f t="shared" si="17"/>
        <v>200.59</v>
      </c>
      <c r="E62" s="6">
        <v>0.59</v>
      </c>
      <c r="F62" s="6">
        <v>0.35</v>
      </c>
      <c r="G62" s="6">
        <v>0.25</v>
      </c>
      <c r="H62" s="7">
        <f>$B62*$C62*E62*12</f>
        <v>1420.1772000000001</v>
      </c>
      <c r="I62" s="7">
        <f>$B62*$C62*F62*12</f>
        <v>842.47799999999984</v>
      </c>
      <c r="J62" s="7">
        <f>$B62*$C62*G62*12</f>
        <v>601.77</v>
      </c>
      <c r="L62" s="55">
        <f t="shared" si="16"/>
        <v>97.239344464500007</v>
      </c>
      <c r="M62" s="6">
        <v>0.18</v>
      </c>
      <c r="N62" s="6">
        <v>0.13</v>
      </c>
      <c r="O62" s="7">
        <f t="shared" si="19"/>
        <v>210.03698404332002</v>
      </c>
      <c r="P62" s="7">
        <f t="shared" si="19"/>
        <v>151.69337736462003</v>
      </c>
    </row>
    <row r="63" spans="1:18" x14ac:dyDescent="0.2">
      <c r="A63" t="str">
        <f t="shared" si="15"/>
        <v>SE + OGPE</v>
      </c>
      <c r="B63">
        <f>+B46</f>
        <v>2519</v>
      </c>
      <c r="C63" s="28">
        <f t="shared" si="17"/>
        <v>178.45</v>
      </c>
      <c r="E63" s="6">
        <v>0.59</v>
      </c>
      <c r="F63" s="6">
        <v>0.35</v>
      </c>
      <c r="G63" s="6">
        <v>0.25</v>
      </c>
      <c r="H63" s="7">
        <f t="shared" ref="H63:J66" si="20">$B63*$C63*E63*12</f>
        <v>3182570.0939999996</v>
      </c>
      <c r="I63" s="7">
        <f t="shared" si="20"/>
        <v>1887965.3099999996</v>
      </c>
      <c r="J63" s="7">
        <f t="shared" si="20"/>
        <v>1348546.65</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200.59</v>
      </c>
      <c r="E64" s="6">
        <v>0.59</v>
      </c>
      <c r="F64" s="6">
        <v>0.35</v>
      </c>
      <c r="G64" s="6">
        <v>0.25</v>
      </c>
      <c r="H64" s="7">
        <f t="shared" si="20"/>
        <v>21302.657999999999</v>
      </c>
      <c r="I64" s="7">
        <f t="shared" si="20"/>
        <v>12637.169999999998</v>
      </c>
      <c r="J64" s="7">
        <f t="shared" si="20"/>
        <v>9026.5499999999993</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23.88</v>
      </c>
      <c r="E65" s="6">
        <v>0.59</v>
      </c>
      <c r="F65" s="6">
        <v>0.35</v>
      </c>
      <c r="G65" s="6">
        <v>0.25</v>
      </c>
      <c r="H65" s="7">
        <f t="shared" si="20"/>
        <v>87916.608000000007</v>
      </c>
      <c r="I65" s="7">
        <f t="shared" si="20"/>
        <v>52153.919999999998</v>
      </c>
      <c r="J65" s="7">
        <f t="shared" si="20"/>
        <v>37252.800000000003</v>
      </c>
      <c r="L65" s="55">
        <f t="shared" si="16"/>
        <v>64.826229642999991</v>
      </c>
      <c r="M65" s="6">
        <v>0.18</v>
      </c>
      <c r="N65" s="6">
        <v>0.13</v>
      </c>
      <c r="O65" s="7">
        <f t="shared" si="19"/>
        <v>72812.821135017584</v>
      </c>
      <c r="P65" s="7">
        <f t="shared" si="19"/>
        <v>52587.037486401598</v>
      </c>
      <c r="Q65" s="4"/>
    </row>
    <row r="66" spans="1:17" x14ac:dyDescent="0.2">
      <c r="A66" t="str">
        <f t="shared" si="15"/>
        <v>transfill only</v>
      </c>
      <c r="B66">
        <f>+B49</f>
        <v>196</v>
      </c>
      <c r="C66" s="28">
        <f t="shared" si="17"/>
        <v>44.72</v>
      </c>
      <c r="E66" s="6">
        <v>0.59</v>
      </c>
      <c r="F66" s="6">
        <v>0.35</v>
      </c>
      <c r="G66" s="6">
        <v>0.25</v>
      </c>
      <c r="H66" s="7">
        <f t="shared" si="20"/>
        <v>62057.049599999984</v>
      </c>
      <c r="I66" s="7">
        <f t="shared" si="20"/>
        <v>36813.503999999994</v>
      </c>
      <c r="J66" s="7">
        <f t="shared" si="20"/>
        <v>26295.359999999997</v>
      </c>
      <c r="L66" s="55">
        <f t="shared" si="16"/>
        <v>0</v>
      </c>
      <c r="M66" s="6">
        <v>0.18</v>
      </c>
      <c r="N66" s="6">
        <v>0.13</v>
      </c>
      <c r="O66" s="7">
        <f t="shared" si="19"/>
        <v>0</v>
      </c>
      <c r="P66" s="7">
        <f t="shared" si="19"/>
        <v>0</v>
      </c>
      <c r="Q66" s="4"/>
    </row>
    <row r="67" spans="1:17" x14ac:dyDescent="0.2">
      <c r="A67" s="38" t="s">
        <v>7</v>
      </c>
      <c r="B67" s="8">
        <f>+SUM(B57:B66)</f>
        <v>16386</v>
      </c>
      <c r="H67" s="4">
        <f>SUM(H57:H66)</f>
        <v>17657113.392000001</v>
      </c>
      <c r="I67" s="4">
        <f t="shared" ref="I67:J67" si="21">SUM(I57:I66)</f>
        <v>10599403.68</v>
      </c>
      <c r="J67" s="4">
        <f t="shared" si="21"/>
        <v>7608141.3600000003</v>
      </c>
      <c r="O67" s="4">
        <f t="shared" ref="O67:P67" si="22">SUM(O57:O66)</f>
        <v>1150232.5369492348</v>
      </c>
      <c r="P67" s="4">
        <f t="shared" si="22"/>
        <v>830723.49890778074</v>
      </c>
      <c r="Q67" s="4">
        <f>SUM(H67:P67)</f>
        <v>37845614.467857018</v>
      </c>
    </row>
    <row r="68" spans="1:17" x14ac:dyDescent="0.2">
      <c r="Q68" s="13">
        <f>+Q67/Q35</f>
        <v>1.0000337160839072</v>
      </c>
    </row>
  </sheetData>
  <mergeCells count="4">
    <mergeCell ref="A1:R1"/>
    <mergeCell ref="F17:H17"/>
    <mergeCell ref="F18:G18"/>
    <mergeCell ref="F19:G19"/>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68"/>
  <sheetViews>
    <sheetView topLeftCell="A44" workbookViewId="0">
      <selection activeCell="Q52" sqref="Q52"/>
    </sheetView>
  </sheetViews>
  <sheetFormatPr defaultRowHeight="12.75" x14ac:dyDescent="0.2"/>
  <cols>
    <col min="8" max="8" width="13.5703125" customWidth="1"/>
    <col min="9" max="9" width="13.140625" customWidth="1"/>
    <col min="10" max="10" width="15.85546875" customWidth="1"/>
    <col min="15" max="15" width="13.140625" customWidth="1"/>
    <col min="16" max="16" width="13.7109375" customWidth="1"/>
    <col min="17" max="17" width="14"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21.270620313361178</v>
      </c>
      <c r="C17" s="22"/>
      <c r="D17" s="22"/>
      <c r="E17" s="22"/>
      <c r="F17" s="136" t="s">
        <v>58</v>
      </c>
      <c r="G17" s="137"/>
      <c r="H17" s="138"/>
      <c r="I17" s="19"/>
      <c r="J17" s="19"/>
      <c r="K17" s="19"/>
      <c r="L17" s="19"/>
      <c r="M17" s="19"/>
      <c r="N17" s="19"/>
      <c r="O17" s="19"/>
      <c r="P17" s="19"/>
      <c r="Q17" s="19"/>
      <c r="R17" s="18"/>
    </row>
    <row r="18" spans="1:18" x14ac:dyDescent="0.2">
      <c r="A18" s="42" t="s">
        <v>46</v>
      </c>
      <c r="B18" s="48">
        <v>60.136337499999996</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109.66423133539999</v>
      </c>
      <c r="C19" s="22"/>
      <c r="D19" s="22"/>
      <c r="E19" s="22"/>
      <c r="F19" s="141" t="s">
        <v>59</v>
      </c>
      <c r="G19" s="142"/>
      <c r="H19" s="54">
        <v>20.77</v>
      </c>
      <c r="I19" s="19"/>
      <c r="J19" s="19"/>
      <c r="K19" s="19"/>
      <c r="L19" s="19"/>
      <c r="M19" s="19"/>
      <c r="N19" s="19"/>
      <c r="O19" s="19"/>
      <c r="P19" s="19"/>
      <c r="Q19" s="19"/>
      <c r="R19" s="18"/>
    </row>
    <row r="20" spans="1:18" x14ac:dyDescent="0.2">
      <c r="A20" s="42" t="s">
        <v>29</v>
      </c>
      <c r="B20" s="48">
        <v>43.519622499999997</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109.66423133539999</v>
      </c>
      <c r="D25" s="7"/>
      <c r="E25" s="6">
        <v>0.65</v>
      </c>
      <c r="F25" s="6">
        <v>0.4</v>
      </c>
      <c r="G25" s="6">
        <v>0.28999999999999998</v>
      </c>
      <c r="H25" s="7">
        <f t="shared" ref="H25:J34" si="0">$B25*$C25*E25*12</f>
        <v>4619057.4238470485</v>
      </c>
      <c r="I25" s="7">
        <f t="shared" si="0"/>
        <v>2842496.8762135683</v>
      </c>
      <c r="J25" s="7">
        <f t="shared" si="0"/>
        <v>2060810.2352548367</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164.49634700309997</v>
      </c>
      <c r="D26" s="7"/>
      <c r="E26" s="6">
        <v>0.59</v>
      </c>
      <c r="F26" s="6">
        <v>0.35</v>
      </c>
      <c r="G26" s="6">
        <v>0.25</v>
      </c>
      <c r="H26" s="7">
        <f t="shared" si="0"/>
        <v>48914.633744841805</v>
      </c>
      <c r="I26" s="7">
        <f t="shared" si="0"/>
        <v>29017.155611346832</v>
      </c>
      <c r="J26" s="7">
        <f t="shared" si="0"/>
        <v>20726.539722390597</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130.93485164876117</v>
      </c>
      <c r="D27" s="7"/>
      <c r="E27" s="6">
        <v>0.59</v>
      </c>
      <c r="F27" s="6">
        <v>0.35</v>
      </c>
      <c r="G27" s="6">
        <v>0.25</v>
      </c>
      <c r="H27" s="7">
        <f t="shared" si="0"/>
        <v>7016604.916276671</v>
      </c>
      <c r="I27" s="7">
        <f t="shared" si="0"/>
        <v>4162392.7469437877</v>
      </c>
      <c r="J27" s="7">
        <f t="shared" si="0"/>
        <v>2973137.6763884197</v>
      </c>
      <c r="L27" s="14">
        <f>+B$18*2*H$19/H$18</f>
        <v>16.12694292930923</v>
      </c>
      <c r="M27" s="6">
        <v>0.18</v>
      </c>
      <c r="N27" s="6">
        <v>0.13</v>
      </c>
      <c r="O27" s="7">
        <f t="shared" si="2"/>
        <v>263660.03502899373</v>
      </c>
      <c r="P27" s="7">
        <f t="shared" si="2"/>
        <v>190421.13640982885</v>
      </c>
    </row>
    <row r="28" spans="1:18" x14ac:dyDescent="0.2">
      <c r="A28" t="str">
        <f t="shared" si="1"/>
        <v>SE + high flow + portable gas¹</v>
      </c>
      <c r="B28" s="49">
        <f t="shared" si="1"/>
        <v>43</v>
      </c>
      <c r="C28" s="21">
        <f>+IF((B$19*1.5 &gt;B$19+B$17),B$19*1.5,B$19+B$17)</f>
        <v>164.49634700309997</v>
      </c>
      <c r="D28" s="7"/>
      <c r="E28" s="6">
        <v>0.59</v>
      </c>
      <c r="F28" s="6">
        <v>0.35</v>
      </c>
      <c r="G28" s="6">
        <v>0.25</v>
      </c>
      <c r="H28" s="7">
        <f t="shared" si="0"/>
        <v>50079.26788162376</v>
      </c>
      <c r="I28" s="7">
        <f t="shared" si="0"/>
        <v>29708.040268759854</v>
      </c>
      <c r="J28" s="7">
        <f t="shared" si="0"/>
        <v>21220.028763399896</v>
      </c>
      <c r="L28" s="14">
        <f>+B$18*2*H$19/H$18</f>
        <v>16.12694292930923</v>
      </c>
      <c r="M28" s="6">
        <v>0.18</v>
      </c>
      <c r="N28" s="6">
        <v>0.13</v>
      </c>
      <c r="O28" s="7">
        <f t="shared" si="2"/>
        <v>1497.8704592742411</v>
      </c>
      <c r="P28" s="7">
        <f t="shared" si="2"/>
        <v>1081.7953316980631</v>
      </c>
    </row>
    <row r="29" spans="1:18" x14ac:dyDescent="0.2">
      <c r="A29" t="str">
        <f t="shared" si="1"/>
        <v>SE + portable liquid</v>
      </c>
      <c r="B29" s="49">
        <f t="shared" si="1"/>
        <v>81</v>
      </c>
      <c r="C29" s="20">
        <f>+B19+B17</f>
        <v>130.93485164876117</v>
      </c>
      <c r="D29" s="7"/>
      <c r="E29" s="6">
        <v>0.59</v>
      </c>
      <c r="F29" s="6">
        <v>0.35</v>
      </c>
      <c r="G29" s="6">
        <v>0.25</v>
      </c>
      <c r="H29" s="7">
        <f t="shared" si="0"/>
        <v>75088.518723531553</v>
      </c>
      <c r="I29" s="7">
        <f t="shared" si="0"/>
        <v>44544.036530908546</v>
      </c>
      <c r="J29" s="7">
        <f t="shared" si="0"/>
        <v>31817.168950648964</v>
      </c>
      <c r="L29" s="14">
        <f>+B$18*2*H$19/H$18</f>
        <v>16.12694292930923</v>
      </c>
      <c r="M29" s="6">
        <v>0.18</v>
      </c>
      <c r="N29" s="6">
        <v>0.13</v>
      </c>
      <c r="O29" s="7">
        <f t="shared" si="2"/>
        <v>2821.5699349119427</v>
      </c>
      <c r="P29" s="7">
        <f t="shared" si="2"/>
        <v>2037.8005085475145</v>
      </c>
      <c r="R29" s="4"/>
    </row>
    <row r="30" spans="1:18" x14ac:dyDescent="0.2">
      <c r="A30" t="str">
        <f t="shared" si="1"/>
        <v>SE + high flow + portable liquid¹</v>
      </c>
      <c r="B30" s="49">
        <f t="shared" si="1"/>
        <v>1</v>
      </c>
      <c r="C30" s="21">
        <f>+IF((B$19*1.5 &gt;B$19+B$17),B$19*1.5,B$19+B$17)</f>
        <v>164.49634700309997</v>
      </c>
      <c r="D30" s="7"/>
      <c r="E30" s="6">
        <v>0.59</v>
      </c>
      <c r="F30" s="6">
        <v>0.35</v>
      </c>
      <c r="G30" s="6">
        <v>0.25</v>
      </c>
      <c r="H30" s="7">
        <f t="shared" si="0"/>
        <v>1164.6341367819477</v>
      </c>
      <c r="I30" s="7">
        <f t="shared" si="0"/>
        <v>690.8846574130198</v>
      </c>
      <c r="J30" s="7">
        <f t="shared" si="0"/>
        <v>493.48904100929991</v>
      </c>
      <c r="L30" s="14">
        <f>+B$18*2*H$19/H$18</f>
        <v>16.12694292930923</v>
      </c>
      <c r="M30" s="6">
        <v>0.18</v>
      </c>
      <c r="N30" s="6">
        <v>0.13</v>
      </c>
      <c r="O30" s="7">
        <f t="shared" si="2"/>
        <v>34.834196727307933</v>
      </c>
      <c r="P30" s="7">
        <f t="shared" si="2"/>
        <v>25.1580309697224</v>
      </c>
      <c r="R30" s="4"/>
    </row>
    <row r="31" spans="1:18" x14ac:dyDescent="0.2">
      <c r="A31" t="str">
        <f t="shared" si="1"/>
        <v>SE + OGPE</v>
      </c>
      <c r="B31" s="49">
        <f t="shared" si="1"/>
        <v>2519</v>
      </c>
      <c r="C31" s="20">
        <f>+B19+B17</f>
        <v>130.93485164876117</v>
      </c>
      <c r="D31" s="7"/>
      <c r="E31" s="6">
        <v>0.59</v>
      </c>
      <c r="F31" s="6">
        <v>0.35</v>
      </c>
      <c r="G31" s="6">
        <v>0.25</v>
      </c>
      <c r="H31" s="7">
        <f t="shared" si="0"/>
        <v>2335160.2304268638</v>
      </c>
      <c r="I31" s="7">
        <f t="shared" si="0"/>
        <v>1385264.5434735632</v>
      </c>
      <c r="J31" s="7">
        <f t="shared" si="0"/>
        <v>989474.67390968814</v>
      </c>
      <c r="L31" s="14">
        <f>+B$18*2*H$19/H$18</f>
        <v>16.12694292930923</v>
      </c>
      <c r="M31" s="6">
        <v>0.18</v>
      </c>
      <c r="N31" s="6">
        <v>0.13</v>
      </c>
      <c r="O31" s="7">
        <f t="shared" si="2"/>
        <v>87747.341556088679</v>
      </c>
      <c r="P31" s="7">
        <f t="shared" si="2"/>
        <v>63373.080012730723</v>
      </c>
      <c r="R31" s="4"/>
    </row>
    <row r="32" spans="1:18" x14ac:dyDescent="0.2">
      <c r="A32" t="str">
        <f t="shared" si="1"/>
        <v>SE + high flow + OGPE¹</v>
      </c>
      <c r="B32" s="49">
        <f t="shared" si="1"/>
        <v>15</v>
      </c>
      <c r="C32" s="21">
        <f>+IF((B$19*1.5 &gt;B$19+B$17),B$19*1.5,B$19+B$17)</f>
        <v>164.49634700309997</v>
      </c>
      <c r="D32" s="7"/>
      <c r="E32" s="6">
        <v>0.59</v>
      </c>
      <c r="F32" s="6">
        <v>0.35</v>
      </c>
      <c r="G32" s="6">
        <v>0.25</v>
      </c>
      <c r="H32" s="7">
        <f t="shared" si="0"/>
        <v>17469.512051729216</v>
      </c>
      <c r="I32" s="7">
        <f t="shared" si="0"/>
        <v>10363.269861195298</v>
      </c>
      <c r="J32" s="7">
        <f t="shared" si="0"/>
        <v>7402.3356151394992</v>
      </c>
      <c r="L32" s="14">
        <v>0</v>
      </c>
      <c r="M32" s="6">
        <v>0.18</v>
      </c>
      <c r="N32" s="6">
        <v>0.13</v>
      </c>
      <c r="O32" s="7">
        <f t="shared" si="2"/>
        <v>0</v>
      </c>
      <c r="P32" s="7">
        <f t="shared" si="2"/>
        <v>0</v>
      </c>
      <c r="R32" s="4"/>
    </row>
    <row r="33" spans="1:18" x14ac:dyDescent="0.2">
      <c r="A33" t="str">
        <f t="shared" si="1"/>
        <v>portable gas or liquid only</v>
      </c>
      <c r="B33" s="49">
        <f t="shared" si="1"/>
        <v>520</v>
      </c>
      <c r="C33" s="20">
        <f>+B17</f>
        <v>21.270620313361178</v>
      </c>
      <c r="D33" s="7"/>
      <c r="E33" s="6">
        <v>0.59</v>
      </c>
      <c r="F33" s="6">
        <v>0.35</v>
      </c>
      <c r="G33" s="6">
        <v>0.25</v>
      </c>
      <c r="H33" s="7">
        <f t="shared" si="0"/>
        <v>78309.915745670514</v>
      </c>
      <c r="I33" s="7">
        <f t="shared" si="0"/>
        <v>46455.034764380805</v>
      </c>
      <c r="J33" s="7">
        <f t="shared" si="0"/>
        <v>33182.167688843438</v>
      </c>
      <c r="L33" s="14">
        <f>+B$18*2*H$19/H$18</f>
        <v>16.12694292930923</v>
      </c>
      <c r="M33" s="6">
        <v>0.18</v>
      </c>
      <c r="N33" s="6">
        <v>0.13</v>
      </c>
      <c r="O33" s="7">
        <f t="shared" si="2"/>
        <v>18113.782298200127</v>
      </c>
      <c r="P33" s="7">
        <f t="shared" si="2"/>
        <v>13082.176104255648</v>
      </c>
      <c r="R33" s="4"/>
    </row>
    <row r="34" spans="1:18" x14ac:dyDescent="0.2">
      <c r="A34" t="str">
        <f t="shared" si="1"/>
        <v>transfill only</v>
      </c>
      <c r="B34" s="49">
        <f t="shared" si="1"/>
        <v>196</v>
      </c>
      <c r="C34" s="20">
        <f>+B17</f>
        <v>21.270620313361178</v>
      </c>
      <c r="D34" s="7"/>
      <c r="E34" s="6">
        <v>0.59</v>
      </c>
      <c r="F34" s="6">
        <v>0.35</v>
      </c>
      <c r="G34" s="6">
        <v>0.25</v>
      </c>
      <c r="H34" s="7">
        <f t="shared" si="0"/>
        <v>29516.814396445036</v>
      </c>
      <c r="I34" s="7">
        <f t="shared" si="0"/>
        <v>17509.974641958921</v>
      </c>
      <c r="J34" s="7">
        <f t="shared" si="0"/>
        <v>12507.124744256373</v>
      </c>
      <c r="L34" s="14">
        <f>+B$18*2*H$19/H$18</f>
        <v>16.12694292930923</v>
      </c>
      <c r="M34" s="6">
        <v>0.18</v>
      </c>
      <c r="N34" s="6">
        <v>0.13</v>
      </c>
      <c r="O34" s="7">
        <f t="shared" si="2"/>
        <v>6827.5025585523554</v>
      </c>
      <c r="P34" s="7">
        <f t="shared" si="2"/>
        <v>4930.9740700655902</v>
      </c>
      <c r="R34" s="4"/>
    </row>
    <row r="35" spans="1:18" x14ac:dyDescent="0.2">
      <c r="A35" t="s">
        <v>6</v>
      </c>
      <c r="B35" s="8">
        <f>+SUM(B25:B34)</f>
        <v>16386</v>
      </c>
      <c r="H35" s="4">
        <f>+SUM(H25:H34)</f>
        <v>14271365.867231205</v>
      </c>
      <c r="I35" s="4">
        <f t="shared" ref="I35:J35" si="3">+SUM(I25:I34)</f>
        <v>8568442.5629668832</v>
      </c>
      <c r="J35" s="4">
        <f t="shared" si="3"/>
        <v>6150771.440078632</v>
      </c>
      <c r="L35" s="14" t="s">
        <v>7</v>
      </c>
      <c r="M35" s="6"/>
      <c r="N35" s="6"/>
      <c r="O35" s="4">
        <f t="shared" ref="O35" si="4">+SUM(O25:O34)</f>
        <v>380702.93603274843</v>
      </c>
      <c r="P35" s="4">
        <f t="shared" ref="P35" si="5">+SUM(P25:P34)</f>
        <v>274952.12046809611</v>
      </c>
      <c r="Q35" s="4">
        <f>SUM(H35:P35)</f>
        <v>29646234.926777564</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109.66423133539999</v>
      </c>
      <c r="E40" s="6">
        <v>0.65</v>
      </c>
      <c r="F40" s="6">
        <v>0.4</v>
      </c>
      <c r="G40" s="6">
        <v>0.28999999999999998</v>
      </c>
      <c r="H40" s="7">
        <f t="shared" ref="H40:J49" si="6">$B40*$C40*E40*12</f>
        <v>4619057.4238470485</v>
      </c>
      <c r="I40" s="7">
        <f t="shared" si="6"/>
        <v>2842496.8762135683</v>
      </c>
      <c r="J40" s="7">
        <f t="shared" si="6"/>
        <v>2060810.2352548367</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164.49634700309997</v>
      </c>
      <c r="E41" s="6">
        <v>0.59</v>
      </c>
      <c r="F41" s="6">
        <v>0.35</v>
      </c>
      <c r="G41" s="6">
        <v>0.25</v>
      </c>
      <c r="H41" s="7">
        <f t="shared" si="6"/>
        <v>48914.633744841805</v>
      </c>
      <c r="I41" s="7">
        <f t="shared" si="6"/>
        <v>29017.155611346832</v>
      </c>
      <c r="J41" s="7">
        <f t="shared" si="6"/>
        <v>20726.539722390597</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130.93485164876117</v>
      </c>
      <c r="E42" s="6">
        <v>0.59</v>
      </c>
      <c r="F42" s="6">
        <v>0.35</v>
      </c>
      <c r="G42" s="6">
        <v>0.25</v>
      </c>
      <c r="H42" s="7">
        <f t="shared" si="6"/>
        <v>7016604.916276671</v>
      </c>
      <c r="I42" s="7">
        <f t="shared" si="6"/>
        <v>4162392.7469437877</v>
      </c>
      <c r="J42" s="7">
        <f t="shared" si="6"/>
        <v>2973137.6763884197</v>
      </c>
      <c r="L42" s="14">
        <f>+B$18</f>
        <v>60.136337499999996</v>
      </c>
      <c r="M42" s="6">
        <v>0.18</v>
      </c>
      <c r="N42" s="6">
        <v>0.13</v>
      </c>
      <c r="O42" s="7">
        <f t="shared" si="8"/>
        <v>983171.38724099996</v>
      </c>
      <c r="P42" s="7">
        <f t="shared" si="8"/>
        <v>710068.22411850002</v>
      </c>
    </row>
    <row r="43" spans="1:18" x14ac:dyDescent="0.2">
      <c r="A43" t="str">
        <f t="shared" si="7"/>
        <v>SE + high flow + portable gas¹</v>
      </c>
      <c r="B43" s="5">
        <f t="shared" si="7"/>
        <v>43</v>
      </c>
      <c r="C43" s="20">
        <f t="shared" si="7"/>
        <v>164.49634700309997</v>
      </c>
      <c r="E43" s="6">
        <v>0.59</v>
      </c>
      <c r="F43" s="6">
        <v>0.35</v>
      </c>
      <c r="G43" s="6">
        <v>0.25</v>
      </c>
      <c r="H43" s="7">
        <f t="shared" si="6"/>
        <v>50079.26788162376</v>
      </c>
      <c r="I43" s="7">
        <f t="shared" si="6"/>
        <v>29708.040268759854</v>
      </c>
      <c r="J43" s="7">
        <f t="shared" si="6"/>
        <v>21220.028763399896</v>
      </c>
      <c r="L43" s="14">
        <f>+B$18</f>
        <v>60.136337499999996</v>
      </c>
      <c r="M43" s="6">
        <v>0.18</v>
      </c>
      <c r="N43" s="6">
        <v>0.13</v>
      </c>
      <c r="O43" s="7">
        <f t="shared" si="8"/>
        <v>5585.4630269999998</v>
      </c>
      <c r="P43" s="7">
        <f t="shared" si="8"/>
        <v>4033.9455195</v>
      </c>
    </row>
    <row r="44" spans="1:18" x14ac:dyDescent="0.2">
      <c r="A44" t="str">
        <f t="shared" si="7"/>
        <v>SE + portable liquid</v>
      </c>
      <c r="B44" s="5">
        <f t="shared" si="7"/>
        <v>81</v>
      </c>
      <c r="C44" s="20">
        <f>+B19+B20</f>
        <v>153.18385383539999</v>
      </c>
      <c r="E44" s="6">
        <v>0.59</v>
      </c>
      <c r="F44" s="6">
        <v>0.35</v>
      </c>
      <c r="G44" s="6">
        <v>0.25</v>
      </c>
      <c r="H44" s="7">
        <f>$B44*$C44*E44*12</f>
        <v>87847.876497525183</v>
      </c>
      <c r="I44" s="7">
        <f>$B44*$C44*F44*12</f>
        <v>52113.14707480307</v>
      </c>
      <c r="J44" s="7">
        <f t="shared" si="6"/>
        <v>37223.6764820022</v>
      </c>
      <c r="L44" s="14">
        <f t="shared" ref="L44" si="9">+B$18</f>
        <v>60.136337499999996</v>
      </c>
      <c r="M44" s="6">
        <v>0.18</v>
      </c>
      <c r="N44" s="6">
        <v>0.13</v>
      </c>
      <c r="O44" s="7">
        <f t="shared" si="8"/>
        <v>10521.453609</v>
      </c>
      <c r="P44" s="7">
        <f t="shared" si="8"/>
        <v>7598.8276065</v>
      </c>
      <c r="R44" s="4"/>
    </row>
    <row r="45" spans="1:18" x14ac:dyDescent="0.2">
      <c r="A45" t="str">
        <f>+A30</f>
        <v>SE + high flow + portable liquid¹</v>
      </c>
      <c r="B45" s="5">
        <f t="shared" si="7"/>
        <v>1</v>
      </c>
      <c r="C45" s="21">
        <f>+IF((B$19*1.5 &gt;B$19+B$17),B$19*1.5,B$19+B$17)</f>
        <v>164.49634700309997</v>
      </c>
      <c r="E45" s="6">
        <v>0.59</v>
      </c>
      <c r="F45" s="6">
        <v>0.35</v>
      </c>
      <c r="G45" s="6">
        <v>0.25</v>
      </c>
      <c r="H45" s="7">
        <f t="shared" ref="H45:I49" si="10">$B45*$C45*E45*12</f>
        <v>1164.6341367819477</v>
      </c>
      <c r="I45" s="7">
        <f t="shared" si="10"/>
        <v>690.8846574130198</v>
      </c>
      <c r="J45" s="7">
        <f t="shared" si="6"/>
        <v>493.48904100929991</v>
      </c>
      <c r="L45" s="14">
        <f>+B18*1.5</f>
        <v>90.204506249999994</v>
      </c>
      <c r="M45" s="6">
        <v>0.18</v>
      </c>
      <c r="N45" s="6">
        <v>0.13</v>
      </c>
      <c r="O45" s="7">
        <f t="shared" si="8"/>
        <v>194.84173349999998</v>
      </c>
      <c r="P45" s="7">
        <f t="shared" si="8"/>
        <v>140.71902974999998</v>
      </c>
      <c r="R45" s="4"/>
    </row>
    <row r="46" spans="1:18" x14ac:dyDescent="0.2">
      <c r="A46" t="str">
        <f>+A31</f>
        <v>SE + OGPE</v>
      </c>
      <c r="B46" s="5">
        <f t="shared" si="7"/>
        <v>2519</v>
      </c>
      <c r="C46" s="20">
        <f>+B19+B20</f>
        <v>153.18385383539999</v>
      </c>
      <c r="E46" s="6">
        <v>0.59</v>
      </c>
      <c r="F46" s="6">
        <v>0.35</v>
      </c>
      <c r="G46" s="6">
        <v>0.25</v>
      </c>
      <c r="H46" s="7">
        <f t="shared" si="10"/>
        <v>2731960.5049045179</v>
      </c>
      <c r="I46" s="7">
        <f t="shared" si="10"/>
        <v>1620654.5368077646</v>
      </c>
      <c r="J46" s="7">
        <f t="shared" si="6"/>
        <v>1157610.3834341178</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164.49634700309997</v>
      </c>
      <c r="E47" s="6">
        <v>0.59</v>
      </c>
      <c r="F47" s="6">
        <v>0.35</v>
      </c>
      <c r="G47" s="6">
        <v>0.25</v>
      </c>
      <c r="H47" s="7">
        <f t="shared" si="10"/>
        <v>17469.512051729216</v>
      </c>
      <c r="I47" s="7">
        <f t="shared" si="10"/>
        <v>10363.269861195298</v>
      </c>
      <c r="J47" s="7">
        <f t="shared" si="6"/>
        <v>7402.3356151394992</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21.270620313361178</v>
      </c>
      <c r="E48" s="6">
        <v>0.59</v>
      </c>
      <c r="F48" s="6">
        <v>0.35</v>
      </c>
      <c r="G48" s="6">
        <v>0.25</v>
      </c>
      <c r="H48" s="7">
        <f t="shared" si="10"/>
        <v>78309.915745670514</v>
      </c>
      <c r="I48" s="7">
        <f t="shared" si="10"/>
        <v>46455.034764380805</v>
      </c>
      <c r="J48" s="7">
        <f t="shared" si="6"/>
        <v>33182.167688843438</v>
      </c>
      <c r="L48" s="14">
        <f>+B18</f>
        <v>60.136337499999996</v>
      </c>
      <c r="M48" s="6">
        <v>0.18</v>
      </c>
      <c r="N48" s="6">
        <v>0.13</v>
      </c>
      <c r="O48" s="7">
        <f t="shared" si="8"/>
        <v>67545.134279999998</v>
      </c>
      <c r="P48" s="7">
        <f t="shared" si="8"/>
        <v>48782.596980000002</v>
      </c>
      <c r="R48" s="4"/>
    </row>
    <row r="49" spans="1:18" x14ac:dyDescent="0.2">
      <c r="A49" t="str">
        <f t="shared" si="11"/>
        <v>transfill only</v>
      </c>
      <c r="B49" s="5">
        <f t="shared" si="7"/>
        <v>196</v>
      </c>
      <c r="C49" s="20">
        <f>+B20</f>
        <v>43.519622499999997</v>
      </c>
      <c r="E49" s="6">
        <v>0.59</v>
      </c>
      <c r="F49" s="6">
        <v>0.35</v>
      </c>
      <c r="G49" s="6">
        <v>0.25</v>
      </c>
      <c r="H49" s="7">
        <f t="shared" si="10"/>
        <v>60391.309750799992</v>
      </c>
      <c r="I49" s="7">
        <f t="shared" si="10"/>
        <v>35825.353241999997</v>
      </c>
      <c r="J49" s="7">
        <f t="shared" si="6"/>
        <v>25589.538029999996</v>
      </c>
      <c r="L49" s="14">
        <v>0</v>
      </c>
      <c r="M49" s="6">
        <v>0.18</v>
      </c>
      <c r="N49" s="6">
        <v>0.13</v>
      </c>
      <c r="O49" s="7">
        <f t="shared" si="8"/>
        <v>0</v>
      </c>
      <c r="P49" s="7">
        <f t="shared" si="8"/>
        <v>0</v>
      </c>
      <c r="R49" s="4"/>
    </row>
    <row r="50" spans="1:18" x14ac:dyDescent="0.2">
      <c r="A50" t="str">
        <f>+A35</f>
        <v>Total</v>
      </c>
      <c r="B50" s="8">
        <v>16386</v>
      </c>
      <c r="H50" s="4">
        <f>+SUM(H40:H49)</f>
        <v>14711799.994837208</v>
      </c>
      <c r="I50" s="4">
        <f t="shared" ref="I50:J50" si="12">+SUM(I40:I49)</f>
        <v>8829717.0454450212</v>
      </c>
      <c r="J50" s="4">
        <f t="shared" si="12"/>
        <v>6337396.070420159</v>
      </c>
      <c r="O50" s="4">
        <f t="shared" ref="O50:P50" si="13">+SUM(O40:O49)</f>
        <v>1067018.2798905</v>
      </c>
      <c r="P50" s="4">
        <f t="shared" si="13"/>
        <v>770624.31325424998</v>
      </c>
      <c r="Q50" s="4">
        <f>SUM(H50:P50)</f>
        <v>31716555.703847136</v>
      </c>
    </row>
    <row r="51" spans="1:18" ht="13.5" thickBot="1" x14ac:dyDescent="0.25">
      <c r="B51" s="11"/>
      <c r="C51" s="24"/>
      <c r="I51" s="4" t="s">
        <v>7</v>
      </c>
      <c r="Q51" s="4">
        <f>Q50-Q35</f>
        <v>2070320.7770695724</v>
      </c>
      <c r="R51">
        <f>+Q51/Q35</f>
        <v>6.9834189136765659E-2</v>
      </c>
    </row>
    <row r="52" spans="1:18" ht="14.25" thickTop="1" thickBot="1" x14ac:dyDescent="0.25">
      <c r="A52" s="11"/>
      <c r="I52" s="13" t="s">
        <v>7</v>
      </c>
      <c r="O52" s="39" t="s">
        <v>20</v>
      </c>
      <c r="P52" s="40"/>
      <c r="Q52" s="51">
        <v>6.5251000000000003E-2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102.51</v>
      </c>
      <c r="E57" s="6">
        <v>0.65</v>
      </c>
      <c r="F57" s="6">
        <v>0.4</v>
      </c>
      <c r="G57" s="6">
        <v>0.28999999999999998</v>
      </c>
      <c r="H57" s="7">
        <f>$B57*$C57*E57*12</f>
        <v>4317721.2</v>
      </c>
      <c r="I57" s="7">
        <f>$B57*$C57*F57*12</f>
        <v>2657059.2000000002</v>
      </c>
      <c r="J57" s="7">
        <f>$B57*$C57*G57*12</f>
        <v>1926367.9199999997</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153.76</v>
      </c>
      <c r="E58" s="6">
        <v>0.59</v>
      </c>
      <c r="F58" s="6">
        <v>0.35</v>
      </c>
      <c r="G58" s="6">
        <v>0.25</v>
      </c>
      <c r="H58" s="7">
        <f t="shared" ref="H58:I60" si="18">$B58*$C58*E58*12</f>
        <v>45722.073599999996</v>
      </c>
      <c r="I58" s="7">
        <f t="shared" si="18"/>
        <v>27123.263999999999</v>
      </c>
      <c r="J58" s="7">
        <f>$B58*$C58*G58*12</f>
        <v>19373.760000000002</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122.39</v>
      </c>
      <c r="E59" s="6">
        <v>0.59</v>
      </c>
      <c r="F59" s="6">
        <v>0.35</v>
      </c>
      <c r="G59" s="6">
        <v>0.25</v>
      </c>
      <c r="H59" s="7">
        <f t="shared" si="18"/>
        <v>6558698.9627999999</v>
      </c>
      <c r="I59" s="7">
        <f t="shared" si="18"/>
        <v>3890753.6220000004</v>
      </c>
      <c r="J59" s="7">
        <f>$B59*$C59*G59*12</f>
        <v>2779109.73</v>
      </c>
      <c r="L59" s="55">
        <f t="shared" si="16"/>
        <v>56.212381341787498</v>
      </c>
      <c r="M59" s="6">
        <v>0.18</v>
      </c>
      <c r="N59" s="6">
        <v>0.13</v>
      </c>
      <c r="O59" s="7">
        <f t="shared" si="19"/>
        <v>919018.47105213732</v>
      </c>
      <c r="P59" s="7">
        <f t="shared" si="19"/>
        <v>663735.56242654368</v>
      </c>
    </row>
    <row r="60" spans="1:18" x14ac:dyDescent="0.2">
      <c r="A60" t="str">
        <f t="shared" si="15"/>
        <v>SE + high flow + portable gas¹</v>
      </c>
      <c r="B60">
        <f t="shared" si="14"/>
        <v>43</v>
      </c>
      <c r="C60" s="28">
        <f t="shared" si="17"/>
        <v>153.76</v>
      </c>
      <c r="E60" s="6">
        <v>0.59</v>
      </c>
      <c r="F60" s="6">
        <v>0.35</v>
      </c>
      <c r="G60" s="6">
        <v>0.25</v>
      </c>
      <c r="H60" s="7">
        <f t="shared" si="18"/>
        <v>46810.694399999993</v>
      </c>
      <c r="I60" s="7">
        <f t="shared" si="18"/>
        <v>27769.055999999997</v>
      </c>
      <c r="J60" s="7">
        <f>$B60*$C60*G60*12</f>
        <v>19835.039999999997</v>
      </c>
      <c r="L60" s="55">
        <f t="shared" si="16"/>
        <v>56.212381341787498</v>
      </c>
      <c r="M60" s="6">
        <v>0.18</v>
      </c>
      <c r="N60" s="6">
        <v>0.13</v>
      </c>
      <c r="O60" s="7">
        <f t="shared" si="19"/>
        <v>5221.0059790252226</v>
      </c>
      <c r="P60" s="7">
        <f t="shared" si="19"/>
        <v>3770.7265404071049</v>
      </c>
    </row>
    <row r="61" spans="1:18" x14ac:dyDescent="0.2">
      <c r="A61" t="str">
        <f t="shared" si="15"/>
        <v>SE + portable liquid</v>
      </c>
      <c r="B61">
        <f t="shared" si="14"/>
        <v>81</v>
      </c>
      <c r="C61" s="28">
        <f t="shared" si="17"/>
        <v>143.19</v>
      </c>
      <c r="E61" s="6">
        <v>0.59</v>
      </c>
      <c r="F61" s="6">
        <v>0.35</v>
      </c>
      <c r="G61" s="6">
        <v>0.25</v>
      </c>
      <c r="H61" s="7">
        <f>$B61*$C61*E61*12</f>
        <v>82116.60119999999</v>
      </c>
      <c r="I61" s="7">
        <f>$B61*$C61*F61*12</f>
        <v>48713.23799999999</v>
      </c>
      <c r="J61" s="7">
        <f>$B61*$C61*G61*12</f>
        <v>34795.17</v>
      </c>
      <c r="L61" s="55">
        <f t="shared" si="16"/>
        <v>56.212381341787498</v>
      </c>
      <c r="M61" s="6">
        <v>0.18</v>
      </c>
      <c r="N61" s="6">
        <v>0.13</v>
      </c>
      <c r="O61" s="7">
        <f t="shared" si="19"/>
        <v>9834.9182395591397</v>
      </c>
      <c r="P61" s="7">
        <f t="shared" si="19"/>
        <v>7102.9965063482678</v>
      </c>
    </row>
    <row r="62" spans="1:18" x14ac:dyDescent="0.2">
      <c r="A62" t="str">
        <f t="shared" si="15"/>
        <v>SE + high flow + portable liquid¹</v>
      </c>
      <c r="B62">
        <f>+B45</f>
        <v>1</v>
      </c>
      <c r="C62" s="28">
        <f t="shared" si="17"/>
        <v>153.76</v>
      </c>
      <c r="E62" s="6">
        <v>0.59</v>
      </c>
      <c r="F62" s="6">
        <v>0.35</v>
      </c>
      <c r="G62" s="6">
        <v>0.25</v>
      </c>
      <c r="H62" s="7">
        <f>$B62*$C62*E62*12</f>
        <v>1088.6207999999999</v>
      </c>
      <c r="I62" s="7">
        <f>$B62*$C62*F62*12</f>
        <v>645.79199999999992</v>
      </c>
      <c r="J62" s="7">
        <f>$B62*$C62*G62*12</f>
        <v>461.28</v>
      </c>
      <c r="L62" s="55">
        <f t="shared" si="16"/>
        <v>84.318572012681244</v>
      </c>
      <c r="M62" s="6">
        <v>0.18</v>
      </c>
      <c r="N62" s="6">
        <v>0.13</v>
      </c>
      <c r="O62" s="7">
        <f t="shared" si="19"/>
        <v>182.12811554739147</v>
      </c>
      <c r="P62" s="7">
        <f t="shared" si="19"/>
        <v>131.53697233978275</v>
      </c>
    </row>
    <row r="63" spans="1:18" x14ac:dyDescent="0.2">
      <c r="A63" t="str">
        <f t="shared" si="15"/>
        <v>SE + OGPE</v>
      </c>
      <c r="B63">
        <f>+B46</f>
        <v>2519</v>
      </c>
      <c r="C63" s="28">
        <f t="shared" si="17"/>
        <v>143.19</v>
      </c>
      <c r="E63" s="6">
        <v>0.59</v>
      </c>
      <c r="F63" s="6">
        <v>0.35</v>
      </c>
      <c r="G63" s="6">
        <v>0.25</v>
      </c>
      <c r="H63" s="7">
        <f t="shared" ref="H63:J66" si="20">$B63*$C63*E63*12</f>
        <v>2553724.9187999996</v>
      </c>
      <c r="I63" s="7">
        <f t="shared" si="20"/>
        <v>1514921.5619999999</v>
      </c>
      <c r="J63" s="7">
        <f t="shared" si="20"/>
        <v>1082086.83</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153.76</v>
      </c>
      <c r="E64" s="6">
        <v>0.59</v>
      </c>
      <c r="F64" s="6">
        <v>0.35</v>
      </c>
      <c r="G64" s="6">
        <v>0.25</v>
      </c>
      <c r="H64" s="7">
        <f t="shared" si="20"/>
        <v>16329.311999999994</v>
      </c>
      <c r="I64" s="7">
        <f t="shared" si="20"/>
        <v>9686.8799999999974</v>
      </c>
      <c r="J64" s="7">
        <f t="shared" si="20"/>
        <v>6919.1999999999989</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19.88</v>
      </c>
      <c r="E65" s="6">
        <v>0.59</v>
      </c>
      <c r="F65" s="6">
        <v>0.35</v>
      </c>
      <c r="G65" s="6">
        <v>0.25</v>
      </c>
      <c r="H65" s="7">
        <f t="shared" si="20"/>
        <v>73190.207999999999</v>
      </c>
      <c r="I65" s="7">
        <f t="shared" si="20"/>
        <v>43417.919999999998</v>
      </c>
      <c r="J65" s="7">
        <f t="shared" si="20"/>
        <v>31012.800000000003</v>
      </c>
      <c r="L65" s="55">
        <f t="shared" si="16"/>
        <v>56.212381341787498</v>
      </c>
      <c r="M65" s="6">
        <v>0.18</v>
      </c>
      <c r="N65" s="6">
        <v>0.13</v>
      </c>
      <c r="O65" s="7">
        <f t="shared" si="19"/>
        <v>63137.746723095712</v>
      </c>
      <c r="P65" s="7">
        <f t="shared" si="19"/>
        <v>45599.483744458012</v>
      </c>
      <c r="Q65" s="4"/>
    </row>
    <row r="66" spans="1:17" x14ac:dyDescent="0.2">
      <c r="A66" t="str">
        <f t="shared" si="15"/>
        <v>transfill only</v>
      </c>
      <c r="B66">
        <f>+B49</f>
        <v>196</v>
      </c>
      <c r="C66" s="28">
        <f t="shared" si="17"/>
        <v>40.68</v>
      </c>
      <c r="E66" s="6">
        <v>0.59</v>
      </c>
      <c r="F66" s="6">
        <v>0.35</v>
      </c>
      <c r="G66" s="6">
        <v>0.25</v>
      </c>
      <c r="H66" s="7">
        <f t="shared" si="20"/>
        <v>56450.82239999999</v>
      </c>
      <c r="I66" s="7">
        <f t="shared" si="20"/>
        <v>33487.775999999998</v>
      </c>
      <c r="J66" s="7">
        <f t="shared" si="20"/>
        <v>23919.84</v>
      </c>
      <c r="L66" s="55">
        <f t="shared" si="16"/>
        <v>0</v>
      </c>
      <c r="M66" s="6">
        <v>0.18</v>
      </c>
      <c r="N66" s="6">
        <v>0.13</v>
      </c>
      <c r="O66" s="7">
        <f t="shared" si="19"/>
        <v>0</v>
      </c>
      <c r="P66" s="7">
        <f t="shared" si="19"/>
        <v>0</v>
      </c>
      <c r="Q66" s="4"/>
    </row>
    <row r="67" spans="1:17" x14ac:dyDescent="0.2">
      <c r="A67" s="38" t="s">
        <v>7</v>
      </c>
      <c r="B67" s="8">
        <f>+SUM(B57:B66)</f>
        <v>16386</v>
      </c>
      <c r="H67" s="4">
        <f>SUM(H57:H66)</f>
        <v>13751853.414000001</v>
      </c>
      <c r="I67" s="4">
        <f t="shared" ref="I67:J67" si="21">SUM(I57:I66)</f>
        <v>8253578.3100000005</v>
      </c>
      <c r="J67" s="4">
        <f t="shared" si="21"/>
        <v>5923881.5700000003</v>
      </c>
      <c r="O67" s="4">
        <f t="shared" ref="O67:P67" si="22">SUM(O57:O66)</f>
        <v>997394.27010936476</v>
      </c>
      <c r="P67" s="4">
        <f t="shared" si="22"/>
        <v>720340.30619009677</v>
      </c>
      <c r="Q67" s="4">
        <f>SUM(H67:P67)</f>
        <v>29647047.870299459</v>
      </c>
    </row>
    <row r="68" spans="1:17" x14ac:dyDescent="0.2">
      <c r="Q68" s="13">
        <f>+Q67/Q35</f>
        <v>1.0000274214760796</v>
      </c>
    </row>
  </sheetData>
  <mergeCells count="4">
    <mergeCell ref="A1:R1"/>
    <mergeCell ref="F17:H17"/>
    <mergeCell ref="F18:G18"/>
    <mergeCell ref="F19:G19"/>
  </mergeCells>
  <pageMargins left="0.1" right="0.1" top="0.1" bottom="0.1" header="0.3" footer="0.3"/>
  <pageSetup scale="66"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5" workbookViewId="0">
      <selection activeCell="B17" sqref="B17:B20"/>
    </sheetView>
  </sheetViews>
  <sheetFormatPr defaultRowHeight="12.75" x14ac:dyDescent="0.2"/>
  <cols>
    <col min="8" max="8" width="14" customWidth="1"/>
    <col min="9" max="9" width="12.85546875" customWidth="1"/>
    <col min="10" max="10" width="13.7109375" customWidth="1"/>
    <col min="15" max="16" width="13.28515625" customWidth="1"/>
    <col min="17" max="17" width="14.570312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20.93612031336118</v>
      </c>
      <c r="C17" s="22"/>
      <c r="D17" s="22"/>
      <c r="E17" s="22"/>
      <c r="F17" s="136" t="s">
        <v>58</v>
      </c>
      <c r="G17" s="137"/>
      <c r="H17" s="138"/>
      <c r="I17" s="19"/>
      <c r="J17" s="19"/>
      <c r="K17" s="19"/>
      <c r="L17" s="19"/>
      <c r="M17" s="19"/>
      <c r="N17" s="19"/>
      <c r="O17" s="19"/>
      <c r="P17" s="19"/>
      <c r="Q17" s="19"/>
      <c r="R17" s="18"/>
    </row>
    <row r="18" spans="1:18" x14ac:dyDescent="0.2">
      <c r="A18" s="42" t="s">
        <v>46</v>
      </c>
      <c r="B18" s="48">
        <v>58.475837499999997</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108.43873133540001</v>
      </c>
      <c r="C19" s="22"/>
      <c r="D19" s="22"/>
      <c r="E19" s="22"/>
      <c r="F19" s="141" t="s">
        <v>59</v>
      </c>
      <c r="G19" s="142"/>
      <c r="H19" s="54">
        <v>20.77</v>
      </c>
      <c r="I19" s="19"/>
      <c r="J19" s="19"/>
      <c r="K19" s="19"/>
      <c r="L19" s="19"/>
      <c r="M19" s="19"/>
      <c r="N19" s="19"/>
      <c r="O19" s="19"/>
      <c r="P19" s="19"/>
      <c r="Q19" s="19"/>
      <c r="R19" s="18"/>
    </row>
    <row r="20" spans="1:18" x14ac:dyDescent="0.2">
      <c r="A20" s="42" t="s">
        <v>29</v>
      </c>
      <c r="B20" s="48">
        <v>43.040122500000003</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108.43873133540001</v>
      </c>
      <c r="D25" s="7"/>
      <c r="E25" s="6">
        <v>0.65</v>
      </c>
      <c r="F25" s="6">
        <v>0.4</v>
      </c>
      <c r="G25" s="6">
        <v>0.28999999999999998</v>
      </c>
      <c r="H25" s="7">
        <f t="shared" ref="H25:J34" si="0">$B25*$C25*E25*12</f>
        <v>4567439.363847048</v>
      </c>
      <c r="I25" s="7">
        <f t="shared" si="0"/>
        <v>2810731.9162135683</v>
      </c>
      <c r="J25" s="7">
        <f t="shared" si="0"/>
        <v>2037780.6392548368</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162.65809700310001</v>
      </c>
      <c r="D26" s="7"/>
      <c r="E26" s="6">
        <v>0.59</v>
      </c>
      <c r="F26" s="6">
        <v>0.35</v>
      </c>
      <c r="G26" s="6">
        <v>0.25</v>
      </c>
      <c r="H26" s="7">
        <f t="shared" si="0"/>
        <v>48368.011724841817</v>
      </c>
      <c r="I26" s="7">
        <f t="shared" si="0"/>
        <v>28692.88831134684</v>
      </c>
      <c r="J26" s="7">
        <f t="shared" si="0"/>
        <v>20494.920222390603</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129.37485164876119</v>
      </c>
      <c r="D27" s="7"/>
      <c r="E27" s="6">
        <v>0.59</v>
      </c>
      <c r="F27" s="6">
        <v>0.35</v>
      </c>
      <c r="G27" s="6">
        <v>0.25</v>
      </c>
      <c r="H27" s="7">
        <f t="shared" si="0"/>
        <v>6933006.8250766713</v>
      </c>
      <c r="I27" s="7">
        <f t="shared" si="0"/>
        <v>4112800.6589437881</v>
      </c>
      <c r="J27" s="7">
        <f t="shared" si="0"/>
        <v>2937714.7563884202</v>
      </c>
      <c r="L27" s="14">
        <f>+B$18*2*H$19/H$18</f>
        <v>15.681641638153645</v>
      </c>
      <c r="M27" s="6">
        <v>0.18</v>
      </c>
      <c r="N27" s="6">
        <v>0.13</v>
      </c>
      <c r="O27" s="7">
        <f t="shared" si="2"/>
        <v>256379.78640783948</v>
      </c>
      <c r="P27" s="7">
        <f t="shared" si="2"/>
        <v>185163.17907232849</v>
      </c>
    </row>
    <row r="28" spans="1:18" x14ac:dyDescent="0.2">
      <c r="A28" t="str">
        <f t="shared" si="1"/>
        <v>SE + high flow + portable gas¹</v>
      </c>
      <c r="B28" s="49">
        <f t="shared" si="1"/>
        <v>43</v>
      </c>
      <c r="C28" s="21">
        <f>+IF((B$19*1.5 &gt;B$19+B$17),B$19*1.5,B$19+B$17)</f>
        <v>162.65809700310001</v>
      </c>
      <c r="D28" s="7"/>
      <c r="E28" s="6">
        <v>0.59</v>
      </c>
      <c r="F28" s="6">
        <v>0.35</v>
      </c>
      <c r="G28" s="6">
        <v>0.25</v>
      </c>
      <c r="H28" s="7">
        <f t="shared" si="0"/>
        <v>49519.631051623765</v>
      </c>
      <c r="I28" s="7">
        <f t="shared" si="0"/>
        <v>29376.052318759859</v>
      </c>
      <c r="J28" s="7">
        <f t="shared" si="0"/>
        <v>20982.8945133999</v>
      </c>
      <c r="L28" s="14">
        <f>+B$18*2*H$19/H$18</f>
        <v>15.681641638153645</v>
      </c>
      <c r="M28" s="6">
        <v>0.18</v>
      </c>
      <c r="N28" s="6">
        <v>0.13</v>
      </c>
      <c r="O28" s="7">
        <f t="shared" si="2"/>
        <v>1456.5108753517106</v>
      </c>
      <c r="P28" s="7">
        <f t="shared" si="2"/>
        <v>1051.9245210873464</v>
      </c>
    </row>
    <row r="29" spans="1:18" x14ac:dyDescent="0.2">
      <c r="A29" t="str">
        <f t="shared" si="1"/>
        <v>SE + portable liquid</v>
      </c>
      <c r="B29" s="49">
        <f t="shared" si="1"/>
        <v>81</v>
      </c>
      <c r="C29" s="20">
        <f>+B19+B17</f>
        <v>129.37485164876119</v>
      </c>
      <c r="D29" s="7"/>
      <c r="E29" s="6">
        <v>0.59</v>
      </c>
      <c r="F29" s="6">
        <v>0.35</v>
      </c>
      <c r="G29" s="6">
        <v>0.25</v>
      </c>
      <c r="H29" s="7">
        <f t="shared" si="0"/>
        <v>74193.889923531562</v>
      </c>
      <c r="I29" s="7">
        <f t="shared" si="0"/>
        <v>44013.324530908554</v>
      </c>
      <c r="J29" s="7">
        <f t="shared" si="0"/>
        <v>31438.088950648969</v>
      </c>
      <c r="L29" s="14">
        <f>+B$18*2*H$19/H$18</f>
        <v>15.681641638153645</v>
      </c>
      <c r="M29" s="6">
        <v>0.18</v>
      </c>
      <c r="N29" s="6">
        <v>0.13</v>
      </c>
      <c r="O29" s="7">
        <f t="shared" si="2"/>
        <v>2743.660021011362</v>
      </c>
      <c r="P29" s="7">
        <f t="shared" si="2"/>
        <v>1981.5322373970946</v>
      </c>
      <c r="R29" s="4"/>
    </row>
    <row r="30" spans="1:18" x14ac:dyDescent="0.2">
      <c r="A30" t="str">
        <f t="shared" si="1"/>
        <v>SE + high flow + portable liquid¹</v>
      </c>
      <c r="B30" s="49">
        <f t="shared" si="1"/>
        <v>1</v>
      </c>
      <c r="C30" s="21">
        <f>+IF((B$19*1.5 &gt;B$19+B$17),B$19*1.5,B$19+B$17)</f>
        <v>162.65809700310001</v>
      </c>
      <c r="D30" s="7"/>
      <c r="E30" s="6">
        <v>0.59</v>
      </c>
      <c r="F30" s="6">
        <v>0.35</v>
      </c>
      <c r="G30" s="6">
        <v>0.25</v>
      </c>
      <c r="H30" s="7">
        <f t="shared" si="0"/>
        <v>1151.6193267819481</v>
      </c>
      <c r="I30" s="7">
        <f t="shared" si="0"/>
        <v>683.16400741301993</v>
      </c>
      <c r="J30" s="7">
        <f t="shared" si="0"/>
        <v>487.97429100930003</v>
      </c>
      <c r="L30" s="14">
        <f>+B$18*2*H$19/H$18</f>
        <v>15.681641638153645</v>
      </c>
      <c r="M30" s="6">
        <v>0.18</v>
      </c>
      <c r="N30" s="6">
        <v>0.13</v>
      </c>
      <c r="O30" s="7">
        <f t="shared" si="2"/>
        <v>33.872345938411875</v>
      </c>
      <c r="P30" s="7">
        <f t="shared" si="2"/>
        <v>24.463360955519686</v>
      </c>
      <c r="R30" s="4"/>
    </row>
    <row r="31" spans="1:18" x14ac:dyDescent="0.2">
      <c r="A31" t="str">
        <f t="shared" si="1"/>
        <v>SE + OGPE</v>
      </c>
      <c r="B31" s="49">
        <f t="shared" si="1"/>
        <v>2519</v>
      </c>
      <c r="C31" s="20">
        <f>+B19+B17</f>
        <v>129.37485164876119</v>
      </c>
      <c r="D31" s="7"/>
      <c r="E31" s="6">
        <v>0.59</v>
      </c>
      <c r="F31" s="6">
        <v>0.35</v>
      </c>
      <c r="G31" s="6">
        <v>0.25</v>
      </c>
      <c r="H31" s="7">
        <f t="shared" si="0"/>
        <v>2307338.3792268643</v>
      </c>
      <c r="I31" s="7">
        <f t="shared" si="0"/>
        <v>1368760.0554735635</v>
      </c>
      <c r="J31" s="7">
        <f t="shared" si="0"/>
        <v>977685.75390968821</v>
      </c>
      <c r="L31" s="14">
        <f>+B$18*2*H$19/H$18</f>
        <v>15.681641638153645</v>
      </c>
      <c r="M31" s="6">
        <v>0.18</v>
      </c>
      <c r="N31" s="6">
        <v>0.13</v>
      </c>
      <c r="O31" s="7">
        <f t="shared" si="2"/>
        <v>85324.439418859518</v>
      </c>
      <c r="P31" s="7">
        <f t="shared" si="2"/>
        <v>61623.206246954091</v>
      </c>
      <c r="R31" s="4"/>
    </row>
    <row r="32" spans="1:18" x14ac:dyDescent="0.2">
      <c r="A32" t="str">
        <f t="shared" si="1"/>
        <v>SE + high flow + OGPE¹</v>
      </c>
      <c r="B32" s="49">
        <f t="shared" si="1"/>
        <v>15</v>
      </c>
      <c r="C32" s="21">
        <f>+IF((B$19*1.5 &gt;B$19+B$17),B$19*1.5,B$19+B$17)</f>
        <v>162.65809700310001</v>
      </c>
      <c r="D32" s="7"/>
      <c r="E32" s="6">
        <v>0.59</v>
      </c>
      <c r="F32" s="6">
        <v>0.35</v>
      </c>
      <c r="G32" s="6">
        <v>0.25</v>
      </c>
      <c r="H32" s="7">
        <f t="shared" si="0"/>
        <v>17274.289901729222</v>
      </c>
      <c r="I32" s="7">
        <f t="shared" si="0"/>
        <v>10247.460111195302</v>
      </c>
      <c r="J32" s="7">
        <f t="shared" si="0"/>
        <v>7319.6143651395005</v>
      </c>
      <c r="L32" s="14">
        <v>0</v>
      </c>
      <c r="M32" s="6">
        <v>0.18</v>
      </c>
      <c r="N32" s="6">
        <v>0.13</v>
      </c>
      <c r="O32" s="7">
        <f t="shared" si="2"/>
        <v>0</v>
      </c>
      <c r="P32" s="7">
        <f t="shared" si="2"/>
        <v>0</v>
      </c>
      <c r="R32" s="4"/>
    </row>
    <row r="33" spans="1:18" x14ac:dyDescent="0.2">
      <c r="A33" t="str">
        <f t="shared" si="1"/>
        <v>portable gas or liquid only</v>
      </c>
      <c r="B33" s="49">
        <f t="shared" si="1"/>
        <v>520</v>
      </c>
      <c r="C33" s="20">
        <f>+B17</f>
        <v>20.93612031336118</v>
      </c>
      <c r="D33" s="7"/>
      <c r="E33" s="6">
        <v>0.59</v>
      </c>
      <c r="F33" s="6">
        <v>0.35</v>
      </c>
      <c r="G33" s="6">
        <v>0.25</v>
      </c>
      <c r="H33" s="7">
        <f t="shared" si="0"/>
        <v>77078.420545670524</v>
      </c>
      <c r="I33" s="7">
        <f t="shared" si="0"/>
        <v>45724.48676438081</v>
      </c>
      <c r="J33" s="7">
        <f t="shared" si="0"/>
        <v>32660.347688843442</v>
      </c>
      <c r="L33" s="14">
        <f>+B$18*2*H$19/H$18</f>
        <v>15.681641638153645</v>
      </c>
      <c r="M33" s="6">
        <v>0.18</v>
      </c>
      <c r="N33" s="6">
        <v>0.13</v>
      </c>
      <c r="O33" s="7">
        <f t="shared" si="2"/>
        <v>17613.619887974175</v>
      </c>
      <c r="P33" s="7">
        <f t="shared" si="2"/>
        <v>12720.947696870237</v>
      </c>
      <c r="R33" s="4"/>
    </row>
    <row r="34" spans="1:18" x14ac:dyDescent="0.2">
      <c r="A34" t="str">
        <f t="shared" si="1"/>
        <v>transfill only</v>
      </c>
      <c r="B34" s="49">
        <f t="shared" si="1"/>
        <v>196</v>
      </c>
      <c r="C34" s="20">
        <f>+B17</f>
        <v>20.93612031336118</v>
      </c>
      <c r="D34" s="7"/>
      <c r="E34" s="6">
        <v>0.59</v>
      </c>
      <c r="F34" s="6">
        <v>0.35</v>
      </c>
      <c r="G34" s="6">
        <v>0.25</v>
      </c>
      <c r="H34" s="7">
        <f t="shared" si="0"/>
        <v>29052.635436445038</v>
      </c>
      <c r="I34" s="7">
        <f t="shared" si="0"/>
        <v>17234.61424195892</v>
      </c>
      <c r="J34" s="7">
        <f t="shared" si="0"/>
        <v>12310.438744256373</v>
      </c>
      <c r="L34" s="14">
        <f>+B$18*2*H$19/H$18</f>
        <v>15.681641638153645</v>
      </c>
      <c r="M34" s="6">
        <v>0.18</v>
      </c>
      <c r="N34" s="6">
        <v>0.13</v>
      </c>
      <c r="O34" s="7">
        <f t="shared" si="2"/>
        <v>6638.979803928728</v>
      </c>
      <c r="P34" s="7">
        <f t="shared" si="2"/>
        <v>4794.8187472818581</v>
      </c>
      <c r="R34" s="4"/>
    </row>
    <row r="35" spans="1:18" x14ac:dyDescent="0.2">
      <c r="A35" t="s">
        <v>6</v>
      </c>
      <c r="B35" s="8">
        <f>+SUM(B25:B34)</f>
        <v>16386</v>
      </c>
      <c r="H35" s="4">
        <f>+SUM(H25:H34)</f>
        <v>14104423.06606121</v>
      </c>
      <c r="I35" s="4">
        <f t="shared" ref="I35:J35" si="3">+SUM(I25:I34)</f>
        <v>8468264.6209168844</v>
      </c>
      <c r="J35" s="4">
        <f t="shared" si="3"/>
        <v>6078875.4283286333</v>
      </c>
      <c r="L35" s="14" t="s">
        <v>7</v>
      </c>
      <c r="M35" s="6"/>
      <c r="N35" s="6"/>
      <c r="O35" s="4">
        <f t="shared" ref="O35" si="4">+SUM(O25:O34)</f>
        <v>370190.86876090342</v>
      </c>
      <c r="P35" s="4">
        <f t="shared" ref="P35" si="5">+SUM(P25:P34)</f>
        <v>267360.07188287465</v>
      </c>
      <c r="Q35" s="4">
        <f>SUM(H35:P35)</f>
        <v>29289114.055950504</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108.43873133540001</v>
      </c>
      <c r="E40" s="6">
        <v>0.65</v>
      </c>
      <c r="F40" s="6">
        <v>0.4</v>
      </c>
      <c r="G40" s="6">
        <v>0.28999999999999998</v>
      </c>
      <c r="H40" s="7">
        <f t="shared" ref="H40:J49" si="6">$B40*$C40*E40*12</f>
        <v>4567439.363847048</v>
      </c>
      <c r="I40" s="7">
        <f t="shared" si="6"/>
        <v>2810731.9162135683</v>
      </c>
      <c r="J40" s="7">
        <f t="shared" si="6"/>
        <v>2037780.6392548368</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162.65809700310001</v>
      </c>
      <c r="E41" s="6">
        <v>0.59</v>
      </c>
      <c r="F41" s="6">
        <v>0.35</v>
      </c>
      <c r="G41" s="6">
        <v>0.25</v>
      </c>
      <c r="H41" s="7">
        <f t="shared" si="6"/>
        <v>48368.011724841817</v>
      </c>
      <c r="I41" s="7">
        <f t="shared" si="6"/>
        <v>28692.88831134684</v>
      </c>
      <c r="J41" s="7">
        <f t="shared" si="6"/>
        <v>20494.920222390603</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129.37485164876119</v>
      </c>
      <c r="E42" s="6">
        <v>0.59</v>
      </c>
      <c r="F42" s="6">
        <v>0.35</v>
      </c>
      <c r="G42" s="6">
        <v>0.25</v>
      </c>
      <c r="H42" s="7">
        <f t="shared" si="6"/>
        <v>6933006.8250766713</v>
      </c>
      <c r="I42" s="7">
        <f t="shared" si="6"/>
        <v>4112800.6589437881</v>
      </c>
      <c r="J42" s="7">
        <f t="shared" si="6"/>
        <v>2937714.7563884202</v>
      </c>
      <c r="L42" s="14">
        <f>+B$18</f>
        <v>58.475837499999997</v>
      </c>
      <c r="M42" s="6">
        <v>0.18</v>
      </c>
      <c r="N42" s="6">
        <v>0.13</v>
      </c>
      <c r="O42" s="7">
        <f t="shared" si="8"/>
        <v>956023.80632099987</v>
      </c>
      <c r="P42" s="7">
        <f t="shared" si="8"/>
        <v>690461.63789849996</v>
      </c>
    </row>
    <row r="43" spans="1:18" x14ac:dyDescent="0.2">
      <c r="A43" t="str">
        <f t="shared" si="7"/>
        <v>SE + high flow + portable gas¹</v>
      </c>
      <c r="B43" s="5">
        <f t="shared" si="7"/>
        <v>43</v>
      </c>
      <c r="C43" s="20">
        <f t="shared" si="7"/>
        <v>162.65809700310001</v>
      </c>
      <c r="E43" s="6">
        <v>0.59</v>
      </c>
      <c r="F43" s="6">
        <v>0.35</v>
      </c>
      <c r="G43" s="6">
        <v>0.25</v>
      </c>
      <c r="H43" s="7">
        <f t="shared" si="6"/>
        <v>49519.631051623765</v>
      </c>
      <c r="I43" s="7">
        <f t="shared" si="6"/>
        <v>29376.052318759859</v>
      </c>
      <c r="J43" s="7">
        <f t="shared" si="6"/>
        <v>20982.8945133999</v>
      </c>
      <c r="L43" s="14">
        <f>+B$18</f>
        <v>58.475837499999997</v>
      </c>
      <c r="M43" s="6">
        <v>0.18</v>
      </c>
      <c r="N43" s="6">
        <v>0.13</v>
      </c>
      <c r="O43" s="7">
        <f t="shared" si="8"/>
        <v>5431.2357869999987</v>
      </c>
      <c r="P43" s="7">
        <f t="shared" si="8"/>
        <v>3922.5591794999996</v>
      </c>
    </row>
    <row r="44" spans="1:18" x14ac:dyDescent="0.2">
      <c r="A44" t="str">
        <f t="shared" si="7"/>
        <v>SE + portable liquid</v>
      </c>
      <c r="B44" s="5">
        <f t="shared" si="7"/>
        <v>81</v>
      </c>
      <c r="C44" s="20">
        <f>+B19+B20</f>
        <v>151.4788538354</v>
      </c>
      <c r="E44" s="6">
        <v>0.59</v>
      </c>
      <c r="F44" s="6">
        <v>0.35</v>
      </c>
      <c r="G44" s="6">
        <v>0.25</v>
      </c>
      <c r="H44" s="7">
        <f>$B44*$C44*E44*12</f>
        <v>86870.093097525183</v>
      </c>
      <c r="I44" s="7">
        <f>$B44*$C44*F44*12</f>
        <v>51533.106074803072</v>
      </c>
      <c r="J44" s="7">
        <f t="shared" si="6"/>
        <v>36809.361482002198</v>
      </c>
      <c r="L44" s="14">
        <f t="shared" ref="L44" si="9">+B$18</f>
        <v>58.475837499999997</v>
      </c>
      <c r="M44" s="6">
        <v>0.18</v>
      </c>
      <c r="N44" s="6">
        <v>0.13</v>
      </c>
      <c r="O44" s="7">
        <f t="shared" si="8"/>
        <v>10230.932528999998</v>
      </c>
      <c r="P44" s="7">
        <f t="shared" si="8"/>
        <v>7389.0068264999991</v>
      </c>
      <c r="R44" s="4"/>
    </row>
    <row r="45" spans="1:18" x14ac:dyDescent="0.2">
      <c r="A45" t="str">
        <f>+A30</f>
        <v>SE + high flow + portable liquid¹</v>
      </c>
      <c r="B45" s="5">
        <f t="shared" si="7"/>
        <v>1</v>
      </c>
      <c r="C45" s="21">
        <f>+IF((B$19*1.5 &gt;B$19+B$17),B$19*1.5,B$19+B$17)</f>
        <v>162.65809700310001</v>
      </c>
      <c r="E45" s="6">
        <v>0.59</v>
      </c>
      <c r="F45" s="6">
        <v>0.35</v>
      </c>
      <c r="G45" s="6">
        <v>0.25</v>
      </c>
      <c r="H45" s="7">
        <f t="shared" ref="H45:I49" si="10">$B45*$C45*E45*12</f>
        <v>1151.6193267819481</v>
      </c>
      <c r="I45" s="7">
        <f t="shared" si="10"/>
        <v>683.16400741301993</v>
      </c>
      <c r="J45" s="7">
        <f t="shared" si="6"/>
        <v>487.97429100930003</v>
      </c>
      <c r="L45" s="14">
        <f>+B18*1.5</f>
        <v>87.713756249999989</v>
      </c>
      <c r="M45" s="6">
        <v>0.18</v>
      </c>
      <c r="N45" s="6">
        <v>0.13</v>
      </c>
      <c r="O45" s="7">
        <f t="shared" si="8"/>
        <v>189.4617135</v>
      </c>
      <c r="P45" s="7">
        <f t="shared" si="8"/>
        <v>136.83345975</v>
      </c>
      <c r="R45" s="4"/>
    </row>
    <row r="46" spans="1:18" x14ac:dyDescent="0.2">
      <c r="A46" t="str">
        <f>+A31</f>
        <v>SE + OGPE</v>
      </c>
      <c r="B46" s="5">
        <f t="shared" si="7"/>
        <v>2519</v>
      </c>
      <c r="C46" s="20">
        <f>+B19+B20</f>
        <v>151.4788538354</v>
      </c>
      <c r="E46" s="6">
        <v>0.59</v>
      </c>
      <c r="F46" s="6">
        <v>0.35</v>
      </c>
      <c r="G46" s="6">
        <v>0.25</v>
      </c>
      <c r="H46" s="7">
        <f t="shared" si="10"/>
        <v>2701552.6483045178</v>
      </c>
      <c r="I46" s="7">
        <f t="shared" si="10"/>
        <v>1602615.9778077649</v>
      </c>
      <c r="J46" s="7">
        <f t="shared" si="6"/>
        <v>1144725.6984341177</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162.65809700310001</v>
      </c>
      <c r="E47" s="6">
        <v>0.59</v>
      </c>
      <c r="F47" s="6">
        <v>0.35</v>
      </c>
      <c r="G47" s="6">
        <v>0.25</v>
      </c>
      <c r="H47" s="7">
        <f t="shared" si="10"/>
        <v>17274.289901729222</v>
      </c>
      <c r="I47" s="7">
        <f t="shared" si="10"/>
        <v>10247.460111195302</v>
      </c>
      <c r="J47" s="7">
        <f t="shared" si="6"/>
        <v>7319.6143651395005</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20.93612031336118</v>
      </c>
      <c r="E48" s="6">
        <v>0.59</v>
      </c>
      <c r="F48" s="6">
        <v>0.35</v>
      </c>
      <c r="G48" s="6">
        <v>0.25</v>
      </c>
      <c r="H48" s="7">
        <f t="shared" si="10"/>
        <v>77078.420545670524</v>
      </c>
      <c r="I48" s="7">
        <f t="shared" si="10"/>
        <v>45724.48676438081</v>
      </c>
      <c r="J48" s="7">
        <f t="shared" si="6"/>
        <v>32660.347688843442</v>
      </c>
      <c r="L48" s="14">
        <f>+B18</f>
        <v>58.475837499999997</v>
      </c>
      <c r="M48" s="6">
        <v>0.18</v>
      </c>
      <c r="N48" s="6">
        <v>0.13</v>
      </c>
      <c r="O48" s="7">
        <f t="shared" si="8"/>
        <v>65680.060679999995</v>
      </c>
      <c r="P48" s="7">
        <f t="shared" si="8"/>
        <v>47435.599379999992</v>
      </c>
      <c r="R48" s="4"/>
    </row>
    <row r="49" spans="1:18" x14ac:dyDescent="0.2">
      <c r="A49" t="str">
        <f t="shared" si="11"/>
        <v>transfill only</v>
      </c>
      <c r="B49" s="5">
        <f t="shared" si="7"/>
        <v>196</v>
      </c>
      <c r="C49" s="20">
        <f>+B20</f>
        <v>43.040122500000003</v>
      </c>
      <c r="E49" s="6">
        <v>0.59</v>
      </c>
      <c r="F49" s="6">
        <v>0.35</v>
      </c>
      <c r="G49" s="6">
        <v>0.25</v>
      </c>
      <c r="H49" s="7">
        <f t="shared" si="10"/>
        <v>59725.917190800013</v>
      </c>
      <c r="I49" s="7">
        <f t="shared" si="10"/>
        <v>35430.628842000006</v>
      </c>
      <c r="J49" s="7">
        <f t="shared" si="6"/>
        <v>25307.592030000003</v>
      </c>
      <c r="L49" s="14">
        <v>0</v>
      </c>
      <c r="M49" s="6">
        <v>0.18</v>
      </c>
      <c r="N49" s="6">
        <v>0.13</v>
      </c>
      <c r="O49" s="7">
        <f t="shared" si="8"/>
        <v>0</v>
      </c>
      <c r="P49" s="7">
        <f t="shared" si="8"/>
        <v>0</v>
      </c>
      <c r="R49" s="4"/>
    </row>
    <row r="50" spans="1:18" x14ac:dyDescent="0.2">
      <c r="A50" t="str">
        <f>+A35</f>
        <v>Total</v>
      </c>
      <c r="B50" s="8">
        <v>16386</v>
      </c>
      <c r="H50" s="4">
        <f>+SUM(H40:H49)</f>
        <v>14541986.82006721</v>
      </c>
      <c r="I50" s="4">
        <f t="shared" ref="I50:J50" si="12">+SUM(I40:I49)</f>
        <v>8727836.3393950202</v>
      </c>
      <c r="J50" s="4">
        <f t="shared" si="12"/>
        <v>6264283.7986701597</v>
      </c>
      <c r="O50" s="4">
        <f t="shared" ref="O50:P50" si="13">+SUM(O40:O49)</f>
        <v>1037555.4970304999</v>
      </c>
      <c r="P50" s="4">
        <f t="shared" si="13"/>
        <v>749345.63674424996</v>
      </c>
      <c r="Q50" s="4">
        <f>SUM(H50:P50)</f>
        <v>31321008.091907136</v>
      </c>
    </row>
    <row r="51" spans="1:18" ht="13.5" thickBot="1" x14ac:dyDescent="0.25">
      <c r="B51" s="11"/>
      <c r="C51" s="24"/>
      <c r="I51" s="4" t="s">
        <v>7</v>
      </c>
      <c r="Q51" s="4">
        <f>Q50-Q35</f>
        <v>2031894.0359566323</v>
      </c>
      <c r="R51">
        <f>+Q51/Q35</f>
        <v>6.9373693996859692E-2</v>
      </c>
    </row>
    <row r="52" spans="1:18" ht="14.25" thickTop="1" thickBot="1" x14ac:dyDescent="0.25">
      <c r="A52" s="11"/>
      <c r="I52" s="13" t="s">
        <v>7</v>
      </c>
      <c r="O52" s="39" t="s">
        <v>20</v>
      </c>
      <c r="P52" s="40"/>
      <c r="Q52" s="51">
        <v>6.4899999999999999E-2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101.4</v>
      </c>
      <c r="E57" s="6">
        <v>0.65</v>
      </c>
      <c r="F57" s="6">
        <v>0.4</v>
      </c>
      <c r="G57" s="6">
        <v>0.28999999999999998</v>
      </c>
      <c r="H57" s="7">
        <f>$B57*$C57*E57*12</f>
        <v>4270968</v>
      </c>
      <c r="I57" s="7">
        <f>$B57*$C57*F57*12</f>
        <v>2628288</v>
      </c>
      <c r="J57" s="7">
        <f>$B57*$C57*G57*12</f>
        <v>1905508.7999999998</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152.1</v>
      </c>
      <c r="E58" s="6">
        <v>0.59</v>
      </c>
      <c r="F58" s="6">
        <v>0.35</v>
      </c>
      <c r="G58" s="6">
        <v>0.25</v>
      </c>
      <c r="H58" s="7">
        <f t="shared" ref="H58:I60" si="18">$B58*$C58*E58*12</f>
        <v>45228.455999999991</v>
      </c>
      <c r="I58" s="7">
        <f t="shared" si="18"/>
        <v>26830.44</v>
      </c>
      <c r="J58" s="7">
        <f>$B58*$C58*G58*12</f>
        <v>19164.599999999999</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120.98</v>
      </c>
      <c r="E59" s="6">
        <v>0.59</v>
      </c>
      <c r="F59" s="6">
        <v>0.35</v>
      </c>
      <c r="G59" s="6">
        <v>0.25</v>
      </c>
      <c r="H59" s="7">
        <f t="shared" si="18"/>
        <v>6483139.1496000001</v>
      </c>
      <c r="I59" s="7">
        <f t="shared" si="18"/>
        <v>3845930.0039999997</v>
      </c>
      <c r="J59" s="7">
        <f>$B59*$C59*G59*12</f>
        <v>2747092.86</v>
      </c>
      <c r="L59" s="55">
        <f t="shared" si="16"/>
        <v>54.680755646249999</v>
      </c>
      <c r="M59" s="6">
        <v>0.18</v>
      </c>
      <c r="N59" s="6">
        <v>0.13</v>
      </c>
      <c r="O59" s="7">
        <f t="shared" si="19"/>
        <v>893977.86129076709</v>
      </c>
      <c r="P59" s="7">
        <f t="shared" si="19"/>
        <v>645650.67759888747</v>
      </c>
    </row>
    <row r="60" spans="1:18" x14ac:dyDescent="0.2">
      <c r="A60" t="str">
        <f t="shared" si="15"/>
        <v>SE + high flow + portable gas¹</v>
      </c>
      <c r="B60">
        <f t="shared" si="14"/>
        <v>43</v>
      </c>
      <c r="C60" s="28">
        <f t="shared" si="17"/>
        <v>152.1</v>
      </c>
      <c r="E60" s="6">
        <v>0.59</v>
      </c>
      <c r="F60" s="6">
        <v>0.35</v>
      </c>
      <c r="G60" s="6">
        <v>0.25</v>
      </c>
      <c r="H60" s="7">
        <f t="shared" si="18"/>
        <v>46305.324000000001</v>
      </c>
      <c r="I60" s="7">
        <f t="shared" si="18"/>
        <v>27469.260000000002</v>
      </c>
      <c r="J60" s="7">
        <f>$B60*$C60*G60*12</f>
        <v>19620.900000000001</v>
      </c>
      <c r="L60" s="55">
        <f t="shared" si="16"/>
        <v>54.680755646249999</v>
      </c>
      <c r="M60" s="6">
        <v>0.18</v>
      </c>
      <c r="N60" s="6">
        <v>0.13</v>
      </c>
      <c r="O60" s="7">
        <f t="shared" si="19"/>
        <v>5078.7485844236999</v>
      </c>
      <c r="P60" s="7">
        <f t="shared" si="19"/>
        <v>3667.9850887504504</v>
      </c>
    </row>
    <row r="61" spans="1:18" x14ac:dyDescent="0.2">
      <c r="A61" t="str">
        <f t="shared" si="15"/>
        <v>SE + portable liquid</v>
      </c>
      <c r="B61">
        <f t="shared" si="14"/>
        <v>81</v>
      </c>
      <c r="C61" s="28">
        <f t="shared" si="17"/>
        <v>141.65</v>
      </c>
      <c r="E61" s="6">
        <v>0.59</v>
      </c>
      <c r="F61" s="6">
        <v>0.35</v>
      </c>
      <c r="G61" s="6">
        <v>0.25</v>
      </c>
      <c r="H61" s="7">
        <f>$B61*$C61*E61*12</f>
        <v>81233.441999999995</v>
      </c>
      <c r="I61" s="7">
        <f>$B61*$C61*F61*12</f>
        <v>48189.329999999994</v>
      </c>
      <c r="J61" s="7">
        <f>$B61*$C61*G61*12</f>
        <v>34420.949999999997</v>
      </c>
      <c r="L61" s="55">
        <f t="shared" si="16"/>
        <v>54.680755646249999</v>
      </c>
      <c r="M61" s="6">
        <v>0.18</v>
      </c>
      <c r="N61" s="6">
        <v>0.13</v>
      </c>
      <c r="O61" s="7">
        <f t="shared" si="19"/>
        <v>9566.9450078679001</v>
      </c>
      <c r="P61" s="7">
        <f t="shared" si="19"/>
        <v>6909.460283460151</v>
      </c>
    </row>
    <row r="62" spans="1:18" x14ac:dyDescent="0.2">
      <c r="A62" t="str">
        <f t="shared" si="15"/>
        <v>SE + high flow + portable liquid¹</v>
      </c>
      <c r="B62">
        <f>+B45</f>
        <v>1</v>
      </c>
      <c r="C62" s="28">
        <f t="shared" si="17"/>
        <v>152.1</v>
      </c>
      <c r="E62" s="6">
        <v>0.59</v>
      </c>
      <c r="F62" s="6">
        <v>0.35</v>
      </c>
      <c r="G62" s="6">
        <v>0.25</v>
      </c>
      <c r="H62" s="7">
        <f>$B62*$C62*E62*12</f>
        <v>1076.8679999999999</v>
      </c>
      <c r="I62" s="7">
        <f>$B62*$C62*F62*12</f>
        <v>638.81999999999994</v>
      </c>
      <c r="J62" s="7">
        <f>$B62*$C62*G62*12</f>
        <v>456.29999999999995</v>
      </c>
      <c r="L62" s="55">
        <f t="shared" si="16"/>
        <v>82.021133469374988</v>
      </c>
      <c r="M62" s="6">
        <v>0.18</v>
      </c>
      <c r="N62" s="6">
        <v>0.13</v>
      </c>
      <c r="O62" s="7">
        <f t="shared" si="19"/>
        <v>177.16564829384996</v>
      </c>
      <c r="P62" s="7">
        <f t="shared" si="19"/>
        <v>127.95296821222497</v>
      </c>
    </row>
    <row r="63" spans="1:18" x14ac:dyDescent="0.2">
      <c r="A63" t="str">
        <f t="shared" si="15"/>
        <v>SE + OGPE</v>
      </c>
      <c r="B63">
        <f>+B46</f>
        <v>2519</v>
      </c>
      <c r="C63" s="28">
        <f t="shared" si="17"/>
        <v>141.65</v>
      </c>
      <c r="E63" s="6">
        <v>0.59</v>
      </c>
      <c r="F63" s="6">
        <v>0.35</v>
      </c>
      <c r="G63" s="6">
        <v>0.25</v>
      </c>
      <c r="H63" s="7">
        <f t="shared" ref="H63:J66" si="20">$B63*$C63*E63*12</f>
        <v>2526259.7579999999</v>
      </c>
      <c r="I63" s="7">
        <f t="shared" si="20"/>
        <v>1498628.67</v>
      </c>
      <c r="J63" s="7">
        <f t="shared" si="20"/>
        <v>1070449.05</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152.1</v>
      </c>
      <c r="E64" s="6">
        <v>0.59</v>
      </c>
      <c r="F64" s="6">
        <v>0.35</v>
      </c>
      <c r="G64" s="6">
        <v>0.25</v>
      </c>
      <c r="H64" s="7">
        <f t="shared" si="20"/>
        <v>16153.02</v>
      </c>
      <c r="I64" s="7">
        <f t="shared" si="20"/>
        <v>9582.2999999999993</v>
      </c>
      <c r="J64" s="7">
        <f t="shared" si="20"/>
        <v>6844.5</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19.579999999999998</v>
      </c>
      <c r="E65" s="6">
        <v>0.59</v>
      </c>
      <c r="F65" s="6">
        <v>0.35</v>
      </c>
      <c r="G65" s="6">
        <v>0.25</v>
      </c>
      <c r="H65" s="7">
        <f t="shared" si="20"/>
        <v>72085.727999999974</v>
      </c>
      <c r="I65" s="7">
        <f t="shared" si="20"/>
        <v>42762.719999999994</v>
      </c>
      <c r="J65" s="7">
        <f t="shared" si="20"/>
        <v>30544.799999999996</v>
      </c>
      <c r="L65" s="55">
        <f t="shared" si="16"/>
        <v>54.680755646249999</v>
      </c>
      <c r="M65" s="6">
        <v>0.18</v>
      </c>
      <c r="N65" s="6">
        <v>0.13</v>
      </c>
      <c r="O65" s="7">
        <f t="shared" si="19"/>
        <v>61417.424741868002</v>
      </c>
      <c r="P65" s="7">
        <f t="shared" si="19"/>
        <v>44357.028980238007</v>
      </c>
      <c r="Q65" s="4"/>
    </row>
    <row r="66" spans="1:17" x14ac:dyDescent="0.2">
      <c r="A66" t="str">
        <f t="shared" si="15"/>
        <v>transfill only</v>
      </c>
      <c r="B66">
        <f>+B49</f>
        <v>196</v>
      </c>
      <c r="C66" s="28">
        <f t="shared" si="17"/>
        <v>40.25</v>
      </c>
      <c r="E66" s="6">
        <v>0.59</v>
      </c>
      <c r="F66" s="6">
        <v>0.35</v>
      </c>
      <c r="G66" s="6">
        <v>0.25</v>
      </c>
      <c r="H66" s="7">
        <f t="shared" si="20"/>
        <v>55854.119999999995</v>
      </c>
      <c r="I66" s="7">
        <f t="shared" si="20"/>
        <v>33133.799999999996</v>
      </c>
      <c r="J66" s="7">
        <f t="shared" si="20"/>
        <v>23667</v>
      </c>
      <c r="L66" s="55">
        <f t="shared" si="16"/>
        <v>0</v>
      </c>
      <c r="M66" s="6">
        <v>0.18</v>
      </c>
      <c r="N66" s="6">
        <v>0.13</v>
      </c>
      <c r="O66" s="7">
        <f t="shared" si="19"/>
        <v>0</v>
      </c>
      <c r="P66" s="7">
        <f t="shared" si="19"/>
        <v>0</v>
      </c>
      <c r="Q66" s="4"/>
    </row>
    <row r="67" spans="1:17" x14ac:dyDescent="0.2">
      <c r="A67" s="38" t="s">
        <v>7</v>
      </c>
      <c r="B67" s="8">
        <f>+SUM(B57:B66)</f>
        <v>16386</v>
      </c>
      <c r="H67" s="4">
        <f>SUM(H57:H66)</f>
        <v>13598303.865599997</v>
      </c>
      <c r="I67" s="4">
        <f t="shared" ref="I67:J67" si="21">SUM(I57:I66)</f>
        <v>8161453.3439999996</v>
      </c>
      <c r="J67" s="4">
        <f t="shared" si="21"/>
        <v>5857769.7599999998</v>
      </c>
      <c r="O67" s="4">
        <f t="shared" ref="O67:P67" si="22">SUM(O57:O66)</f>
        <v>970218.14527322049</v>
      </c>
      <c r="P67" s="4">
        <f t="shared" si="22"/>
        <v>700713.10491954826</v>
      </c>
      <c r="Q67" s="4">
        <f>SUM(H67:P67)</f>
        <v>29288458.219792768</v>
      </c>
    </row>
    <row r="68" spans="1:17" x14ac:dyDescent="0.2">
      <c r="Q68" s="13">
        <f>+Q67/Q35</f>
        <v>0.99997760819407233</v>
      </c>
    </row>
  </sheetData>
  <mergeCells count="4">
    <mergeCell ref="A1:R1"/>
    <mergeCell ref="F17:H17"/>
    <mergeCell ref="F18:G18"/>
    <mergeCell ref="F19:G19"/>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4" workbookViewId="0">
      <selection activeCell="P21" sqref="P21"/>
    </sheetView>
  </sheetViews>
  <sheetFormatPr defaultRowHeight="12.75" x14ac:dyDescent="0.2"/>
  <cols>
    <col min="8" max="8" width="15.7109375" customWidth="1"/>
    <col min="9" max="9" width="12.140625" customWidth="1"/>
    <col min="10" max="10" width="14.140625" customWidth="1"/>
    <col min="15" max="15" width="14.5703125" customWidth="1"/>
    <col min="16" max="16" width="13.85546875" customWidth="1"/>
    <col min="17" max="17" width="14.4257812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21.280120313361181</v>
      </c>
      <c r="C17" s="22"/>
      <c r="D17" s="22"/>
      <c r="E17" s="22"/>
      <c r="F17" s="136" t="s">
        <v>58</v>
      </c>
      <c r="G17" s="137"/>
      <c r="H17" s="138"/>
      <c r="I17" s="19"/>
      <c r="J17" s="19"/>
      <c r="K17" s="19"/>
      <c r="L17" s="19"/>
      <c r="M17" s="19"/>
      <c r="N17" s="19"/>
      <c r="O17" s="19"/>
      <c r="P17" s="19"/>
      <c r="Q17" s="19"/>
      <c r="R17" s="18"/>
    </row>
    <row r="18" spans="1:18" x14ac:dyDescent="0.2">
      <c r="A18" s="42" t="s">
        <v>46</v>
      </c>
      <c r="B18" s="48">
        <v>60.680837499999996</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109.5802313354</v>
      </c>
      <c r="C19" s="22"/>
      <c r="D19" s="22"/>
      <c r="E19" s="22"/>
      <c r="F19" s="141" t="s">
        <v>59</v>
      </c>
      <c r="G19" s="142"/>
      <c r="H19" s="54">
        <v>20.77</v>
      </c>
      <c r="I19" s="19"/>
      <c r="J19" s="19"/>
      <c r="K19" s="19"/>
      <c r="L19" s="19"/>
      <c r="M19" s="19"/>
      <c r="N19" s="19"/>
      <c r="O19" s="19"/>
      <c r="P19" s="19"/>
      <c r="Q19" s="19"/>
      <c r="R19" s="18"/>
    </row>
    <row r="20" spans="1:18" x14ac:dyDescent="0.2">
      <c r="A20" s="42" t="s">
        <v>29</v>
      </c>
      <c r="B20" s="48">
        <v>41.747622500000006</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109.5802313354</v>
      </c>
      <c r="D25" s="7"/>
      <c r="E25" s="6">
        <v>0.65</v>
      </c>
      <c r="F25" s="6">
        <v>0.4</v>
      </c>
      <c r="G25" s="6">
        <v>0.28999999999999998</v>
      </c>
      <c r="H25" s="7">
        <f t="shared" ref="H25:J34" si="0">$B25*$C25*E25*12</f>
        <v>4615519.3438470475</v>
      </c>
      <c r="I25" s="7">
        <f t="shared" si="0"/>
        <v>2840319.596213568</v>
      </c>
      <c r="J25" s="7">
        <f t="shared" si="0"/>
        <v>2059231.7072548368</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164.37034700309999</v>
      </c>
      <c r="D26" s="7"/>
      <c r="E26" s="6">
        <v>0.59</v>
      </c>
      <c r="F26" s="6">
        <v>0.35</v>
      </c>
      <c r="G26" s="6">
        <v>0.25</v>
      </c>
      <c r="H26" s="7">
        <f t="shared" si="0"/>
        <v>48877.16638484181</v>
      </c>
      <c r="I26" s="7">
        <f t="shared" si="0"/>
        <v>28994.929211346836</v>
      </c>
      <c r="J26" s="7">
        <f t="shared" si="0"/>
        <v>20710.6637223906</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130.8603516487612</v>
      </c>
      <c r="D27" s="7"/>
      <c r="E27" s="6">
        <v>0.59</v>
      </c>
      <c r="F27" s="6">
        <v>0.35</v>
      </c>
      <c r="G27" s="6">
        <v>0.25</v>
      </c>
      <c r="H27" s="7">
        <f t="shared" si="0"/>
        <v>7012612.5715366732</v>
      </c>
      <c r="I27" s="7">
        <f t="shared" si="0"/>
        <v>4160024.4068437885</v>
      </c>
      <c r="J27" s="7">
        <f t="shared" si="0"/>
        <v>2971446.0048884205</v>
      </c>
      <c r="L27" s="14">
        <f>+B$18*2*H$19/H$18</f>
        <v>16.272963135894123</v>
      </c>
      <c r="M27" s="6">
        <v>0.18</v>
      </c>
      <c r="N27" s="6">
        <v>0.13</v>
      </c>
      <c r="O27" s="7">
        <f t="shared" si="2"/>
        <v>266047.32522725844</v>
      </c>
      <c r="P27" s="7">
        <f t="shared" si="2"/>
        <v>192145.2904419089</v>
      </c>
    </row>
    <row r="28" spans="1:18" x14ac:dyDescent="0.2">
      <c r="A28" t="str">
        <f t="shared" si="1"/>
        <v>SE + high flow + portable gas¹</v>
      </c>
      <c r="B28" s="49">
        <f t="shared" si="1"/>
        <v>43</v>
      </c>
      <c r="C28" s="21">
        <f>+IF((B$19*1.5 &gt;B$19+B$17),B$19*1.5,B$19+B$17)</f>
        <v>164.37034700309999</v>
      </c>
      <c r="D28" s="7"/>
      <c r="E28" s="6">
        <v>0.59</v>
      </c>
      <c r="F28" s="6">
        <v>0.35</v>
      </c>
      <c r="G28" s="6">
        <v>0.25</v>
      </c>
      <c r="H28" s="7">
        <f t="shared" si="0"/>
        <v>50040.90844162376</v>
      </c>
      <c r="I28" s="7">
        <f t="shared" si="0"/>
        <v>29685.284668759858</v>
      </c>
      <c r="J28" s="7">
        <f t="shared" si="0"/>
        <v>21203.774763399899</v>
      </c>
      <c r="L28" s="14">
        <f>+B$18*2*H$19/H$18</f>
        <v>16.272963135894123</v>
      </c>
      <c r="M28" s="6">
        <v>0.18</v>
      </c>
      <c r="N28" s="6">
        <v>0.13</v>
      </c>
      <c r="O28" s="7">
        <f t="shared" si="2"/>
        <v>1511.4328160618461</v>
      </c>
      <c r="P28" s="7">
        <f t="shared" si="2"/>
        <v>1091.5903671557778</v>
      </c>
    </row>
    <row r="29" spans="1:18" x14ac:dyDescent="0.2">
      <c r="A29" t="str">
        <f t="shared" si="1"/>
        <v>SE + portable liquid</v>
      </c>
      <c r="B29" s="49">
        <f t="shared" si="1"/>
        <v>81</v>
      </c>
      <c r="C29" s="20">
        <f>+B19+B17</f>
        <v>130.8603516487612</v>
      </c>
      <c r="D29" s="7"/>
      <c r="E29" s="6">
        <v>0.59</v>
      </c>
      <c r="F29" s="6">
        <v>0.35</v>
      </c>
      <c r="G29" s="6">
        <v>0.25</v>
      </c>
      <c r="H29" s="7">
        <f t="shared" si="0"/>
        <v>75045.794463531565</v>
      </c>
      <c r="I29" s="7">
        <f t="shared" si="0"/>
        <v>44518.69163090855</v>
      </c>
      <c r="J29" s="7">
        <f t="shared" si="0"/>
        <v>31799.06545064897</v>
      </c>
      <c r="L29" s="14">
        <f>+B$18*2*H$19/H$18</f>
        <v>16.272963135894123</v>
      </c>
      <c r="M29" s="6">
        <v>0.18</v>
      </c>
      <c r="N29" s="6">
        <v>0.13</v>
      </c>
      <c r="O29" s="7">
        <f t="shared" si="2"/>
        <v>2847.1176302560357</v>
      </c>
      <c r="P29" s="7">
        <f t="shared" si="2"/>
        <v>2056.2516218515816</v>
      </c>
      <c r="R29" s="4"/>
    </row>
    <row r="30" spans="1:18" x14ac:dyDescent="0.2">
      <c r="A30" t="str">
        <f t="shared" si="1"/>
        <v>SE + high flow + portable liquid¹</v>
      </c>
      <c r="B30" s="49">
        <f t="shared" si="1"/>
        <v>1</v>
      </c>
      <c r="C30" s="21">
        <f>+IF((B$19*1.5 &gt;B$19+B$17),B$19*1.5,B$19+B$17)</f>
        <v>164.37034700309999</v>
      </c>
      <c r="D30" s="7"/>
      <c r="E30" s="6">
        <v>0.59</v>
      </c>
      <c r="F30" s="6">
        <v>0.35</v>
      </c>
      <c r="G30" s="6">
        <v>0.25</v>
      </c>
      <c r="H30" s="7">
        <f t="shared" si="0"/>
        <v>1163.7420567819479</v>
      </c>
      <c r="I30" s="7">
        <f t="shared" si="0"/>
        <v>690.35545741301985</v>
      </c>
      <c r="J30" s="7">
        <f t="shared" si="0"/>
        <v>493.11104100929998</v>
      </c>
      <c r="L30" s="14">
        <f>+B$18*2*H$19/H$18</f>
        <v>16.272963135894123</v>
      </c>
      <c r="M30" s="6">
        <v>0.18</v>
      </c>
      <c r="N30" s="6">
        <v>0.13</v>
      </c>
      <c r="O30" s="7">
        <f t="shared" si="2"/>
        <v>35.149600373531307</v>
      </c>
      <c r="P30" s="7">
        <f t="shared" si="2"/>
        <v>25.385822491994833</v>
      </c>
      <c r="R30" s="4"/>
    </row>
    <row r="31" spans="1:18" x14ac:dyDescent="0.2">
      <c r="A31" t="str">
        <f t="shared" si="1"/>
        <v>SE + OGPE</v>
      </c>
      <c r="B31" s="49">
        <f t="shared" si="1"/>
        <v>2519</v>
      </c>
      <c r="C31" s="20">
        <f>+B19+B17</f>
        <v>130.8603516487612</v>
      </c>
      <c r="D31" s="7"/>
      <c r="E31" s="6">
        <v>0.59</v>
      </c>
      <c r="F31" s="6">
        <v>0.35</v>
      </c>
      <c r="G31" s="6">
        <v>0.25</v>
      </c>
      <c r="H31" s="7">
        <f t="shared" si="0"/>
        <v>2333831.5586868646</v>
      </c>
      <c r="I31" s="7">
        <f t="shared" si="0"/>
        <v>1384476.3483735635</v>
      </c>
      <c r="J31" s="7">
        <f t="shared" si="0"/>
        <v>988911.67740968824</v>
      </c>
      <c r="L31" s="14">
        <f>+B$18*2*H$19/H$18</f>
        <v>16.272963135894123</v>
      </c>
      <c r="M31" s="6">
        <v>0.18</v>
      </c>
      <c r="N31" s="6">
        <v>0.13</v>
      </c>
      <c r="O31" s="7">
        <f t="shared" si="2"/>
        <v>88541.843340925363</v>
      </c>
      <c r="P31" s="7">
        <f t="shared" si="2"/>
        <v>63946.886857334983</v>
      </c>
      <c r="R31" s="4"/>
    </row>
    <row r="32" spans="1:18" x14ac:dyDescent="0.2">
      <c r="A32" t="str">
        <f t="shared" si="1"/>
        <v>SE + high flow + OGPE¹</v>
      </c>
      <c r="B32" s="49">
        <f t="shared" si="1"/>
        <v>15</v>
      </c>
      <c r="C32" s="21">
        <f>+IF((B$19*1.5 &gt;B$19+B$17),B$19*1.5,B$19+B$17)</f>
        <v>164.37034700309999</v>
      </c>
      <c r="D32" s="7"/>
      <c r="E32" s="6">
        <v>0.59</v>
      </c>
      <c r="F32" s="6">
        <v>0.35</v>
      </c>
      <c r="G32" s="6">
        <v>0.25</v>
      </c>
      <c r="H32" s="7">
        <f t="shared" si="0"/>
        <v>17456.13085172922</v>
      </c>
      <c r="I32" s="7">
        <f t="shared" si="0"/>
        <v>10355.3318611953</v>
      </c>
      <c r="J32" s="7">
        <f t="shared" si="0"/>
        <v>7396.6656151395</v>
      </c>
      <c r="L32" s="14">
        <v>0</v>
      </c>
      <c r="M32" s="6">
        <v>0.18</v>
      </c>
      <c r="N32" s="6">
        <v>0.13</v>
      </c>
      <c r="O32" s="7">
        <f t="shared" si="2"/>
        <v>0</v>
      </c>
      <c r="P32" s="7">
        <f t="shared" si="2"/>
        <v>0</v>
      </c>
      <c r="R32" s="4"/>
    </row>
    <row r="33" spans="1:18" x14ac:dyDescent="0.2">
      <c r="A33" t="str">
        <f t="shared" si="1"/>
        <v>portable gas or liquid only</v>
      </c>
      <c r="B33" s="49">
        <f t="shared" si="1"/>
        <v>520</v>
      </c>
      <c r="C33" s="20">
        <f>+B17</f>
        <v>21.280120313361181</v>
      </c>
      <c r="D33" s="7"/>
      <c r="E33" s="6">
        <v>0.59</v>
      </c>
      <c r="F33" s="6">
        <v>0.35</v>
      </c>
      <c r="G33" s="6">
        <v>0.25</v>
      </c>
      <c r="H33" s="7">
        <f t="shared" si="0"/>
        <v>78344.890945670515</v>
      </c>
      <c r="I33" s="7">
        <f t="shared" si="0"/>
        <v>46475.78276438082</v>
      </c>
      <c r="J33" s="7">
        <f t="shared" si="0"/>
        <v>33196.987688843445</v>
      </c>
      <c r="L33" s="14">
        <f>+B$18*2*H$19/H$18</f>
        <v>16.272963135894123</v>
      </c>
      <c r="M33" s="6">
        <v>0.18</v>
      </c>
      <c r="N33" s="6">
        <v>0.13</v>
      </c>
      <c r="O33" s="7">
        <f t="shared" si="2"/>
        <v>18277.792194236281</v>
      </c>
      <c r="P33" s="7">
        <f t="shared" si="2"/>
        <v>13200.627695837313</v>
      </c>
      <c r="R33" s="4"/>
    </row>
    <row r="34" spans="1:18" x14ac:dyDescent="0.2">
      <c r="A34" t="str">
        <f t="shared" si="1"/>
        <v>transfill only</v>
      </c>
      <c r="B34" s="49">
        <f t="shared" si="1"/>
        <v>196</v>
      </c>
      <c r="C34" s="20">
        <f>+B17</f>
        <v>21.280120313361181</v>
      </c>
      <c r="D34" s="7"/>
      <c r="E34" s="6">
        <v>0.59</v>
      </c>
      <c r="F34" s="6">
        <v>0.35</v>
      </c>
      <c r="G34" s="6">
        <v>0.25</v>
      </c>
      <c r="H34" s="7">
        <f t="shared" si="0"/>
        <v>29529.997356445045</v>
      </c>
      <c r="I34" s="7">
        <f t="shared" si="0"/>
        <v>17517.795041958925</v>
      </c>
      <c r="J34" s="7">
        <f t="shared" si="0"/>
        <v>12512.710744256376</v>
      </c>
      <c r="L34" s="14">
        <f>+B$18*2*H$19/H$18</f>
        <v>16.272963135894123</v>
      </c>
      <c r="M34" s="6">
        <v>0.18</v>
      </c>
      <c r="N34" s="6">
        <v>0.13</v>
      </c>
      <c r="O34" s="7">
        <f t="shared" si="2"/>
        <v>6889.3216732121364</v>
      </c>
      <c r="P34" s="7">
        <f t="shared" si="2"/>
        <v>4975.6212084309873</v>
      </c>
      <c r="R34" s="4"/>
    </row>
    <row r="35" spans="1:18" x14ac:dyDescent="0.2">
      <c r="A35" t="s">
        <v>6</v>
      </c>
      <c r="B35" s="8">
        <f>+SUM(B25:B34)</f>
        <v>16386</v>
      </c>
      <c r="H35" s="4">
        <f>+SUM(H25:H34)</f>
        <v>14262422.104571208</v>
      </c>
      <c r="I35" s="4">
        <f t="shared" ref="I35:J35" si="3">+SUM(I25:I34)</f>
        <v>8563058.5220668837</v>
      </c>
      <c r="J35" s="4">
        <f t="shared" si="3"/>
        <v>6146902.3685786324</v>
      </c>
      <c r="L35" s="14"/>
      <c r="M35" s="6"/>
      <c r="N35" s="6"/>
      <c r="O35" s="4">
        <f t="shared" ref="O35" si="4">+SUM(O25:O34)</f>
        <v>384149.98248232366</v>
      </c>
      <c r="P35" s="4">
        <f t="shared" ref="P35" si="5">+SUM(P25:P34)</f>
        <v>277441.6540150115</v>
      </c>
      <c r="Q35" s="4">
        <f>SUM(H35:P35)</f>
        <v>29633974.631714061</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109.5802313354</v>
      </c>
      <c r="E40" s="6">
        <v>0.65</v>
      </c>
      <c r="F40" s="6">
        <v>0.4</v>
      </c>
      <c r="G40" s="6">
        <v>0.28999999999999998</v>
      </c>
      <c r="H40" s="7">
        <f t="shared" ref="H40:J49" si="6">$B40*$C40*E40*12</f>
        <v>4615519.3438470475</v>
      </c>
      <c r="I40" s="7">
        <f t="shared" si="6"/>
        <v>2840319.596213568</v>
      </c>
      <c r="J40" s="7">
        <f t="shared" si="6"/>
        <v>2059231.7072548368</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164.37034700309999</v>
      </c>
      <c r="E41" s="6">
        <v>0.59</v>
      </c>
      <c r="F41" s="6">
        <v>0.35</v>
      </c>
      <c r="G41" s="6">
        <v>0.25</v>
      </c>
      <c r="H41" s="7">
        <f t="shared" si="6"/>
        <v>48877.16638484181</v>
      </c>
      <c r="I41" s="7">
        <f t="shared" si="6"/>
        <v>28994.929211346836</v>
      </c>
      <c r="J41" s="7">
        <f t="shared" si="6"/>
        <v>20710.6637223906</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130.8603516487612</v>
      </c>
      <c r="E42" s="6">
        <v>0.59</v>
      </c>
      <c r="F42" s="6">
        <v>0.35</v>
      </c>
      <c r="G42" s="6">
        <v>0.25</v>
      </c>
      <c r="H42" s="7">
        <f t="shared" si="6"/>
        <v>7012612.5715366732</v>
      </c>
      <c r="I42" s="7">
        <f t="shared" si="6"/>
        <v>4160024.4068437885</v>
      </c>
      <c r="J42" s="7">
        <f t="shared" si="6"/>
        <v>2971446.0048884205</v>
      </c>
      <c r="L42" s="14">
        <f>+B$18</f>
        <v>60.680837499999996</v>
      </c>
      <c r="M42" s="6">
        <v>0.18</v>
      </c>
      <c r="N42" s="6">
        <v>0.13</v>
      </c>
      <c r="O42" s="7">
        <f t="shared" si="8"/>
        <v>992073.43952099991</v>
      </c>
      <c r="P42" s="7">
        <f t="shared" si="8"/>
        <v>716497.48409849999</v>
      </c>
    </row>
    <row r="43" spans="1:18" x14ac:dyDescent="0.2">
      <c r="A43" t="str">
        <f t="shared" si="7"/>
        <v>SE + high flow + portable gas¹</v>
      </c>
      <c r="B43" s="5">
        <f t="shared" si="7"/>
        <v>43</v>
      </c>
      <c r="C43" s="20">
        <f t="shared" si="7"/>
        <v>164.37034700309999</v>
      </c>
      <c r="E43" s="6">
        <v>0.59</v>
      </c>
      <c r="F43" s="6">
        <v>0.35</v>
      </c>
      <c r="G43" s="6">
        <v>0.25</v>
      </c>
      <c r="H43" s="7">
        <f t="shared" si="6"/>
        <v>50040.90844162376</v>
      </c>
      <c r="I43" s="7">
        <f t="shared" si="6"/>
        <v>29685.284668759858</v>
      </c>
      <c r="J43" s="7">
        <f t="shared" si="6"/>
        <v>21203.774763399899</v>
      </c>
      <c r="L43" s="14">
        <f>+B$18</f>
        <v>60.680837499999996</v>
      </c>
      <c r="M43" s="6">
        <v>0.18</v>
      </c>
      <c r="N43" s="6">
        <v>0.13</v>
      </c>
      <c r="O43" s="7">
        <f t="shared" si="8"/>
        <v>5636.0361869999997</v>
      </c>
      <c r="P43" s="7">
        <f t="shared" si="8"/>
        <v>4070.4705794999995</v>
      </c>
    </row>
    <row r="44" spans="1:18" x14ac:dyDescent="0.2">
      <c r="A44" t="str">
        <f t="shared" si="7"/>
        <v>SE + portable liquid</v>
      </c>
      <c r="B44" s="5">
        <f t="shared" si="7"/>
        <v>81</v>
      </c>
      <c r="C44" s="20">
        <f>+B19+B20</f>
        <v>151.32785383539999</v>
      </c>
      <c r="E44" s="6">
        <v>0.59</v>
      </c>
      <c r="F44" s="6">
        <v>0.35</v>
      </c>
      <c r="G44" s="6">
        <v>0.25</v>
      </c>
      <c r="H44" s="7">
        <f>$B44*$C44*E44*12</f>
        <v>86783.497617525194</v>
      </c>
      <c r="I44" s="7">
        <f>$B44*$C44*F44*12</f>
        <v>51481.735874803075</v>
      </c>
      <c r="J44" s="7">
        <f t="shared" si="6"/>
        <v>36772.668482002198</v>
      </c>
      <c r="L44" s="14">
        <f t="shared" ref="L44" si="9">+B$18</f>
        <v>60.680837499999996</v>
      </c>
      <c r="M44" s="6">
        <v>0.18</v>
      </c>
      <c r="N44" s="6">
        <v>0.13</v>
      </c>
      <c r="O44" s="7">
        <f t="shared" si="8"/>
        <v>10616.719329</v>
      </c>
      <c r="P44" s="7">
        <f t="shared" si="8"/>
        <v>7667.6306264999994</v>
      </c>
      <c r="R44" s="4"/>
    </row>
    <row r="45" spans="1:18" x14ac:dyDescent="0.2">
      <c r="A45" t="str">
        <f>+A30</f>
        <v>SE + high flow + portable liquid¹</v>
      </c>
      <c r="B45" s="5">
        <f t="shared" si="7"/>
        <v>1</v>
      </c>
      <c r="C45" s="21">
        <f>+IF((B$19*1.5 &gt;B$19+B$17),B$19*1.5,B$19+B$17)</f>
        <v>164.37034700309999</v>
      </c>
      <c r="E45" s="6">
        <v>0.59</v>
      </c>
      <c r="F45" s="6">
        <v>0.35</v>
      </c>
      <c r="G45" s="6">
        <v>0.25</v>
      </c>
      <c r="H45" s="7">
        <f t="shared" ref="H45:I49" si="10">$B45*$C45*E45*12</f>
        <v>1163.7420567819479</v>
      </c>
      <c r="I45" s="7">
        <f t="shared" si="10"/>
        <v>690.35545741301985</v>
      </c>
      <c r="J45" s="7">
        <f t="shared" si="6"/>
        <v>493.11104100929998</v>
      </c>
      <c r="L45" s="14">
        <f>+B18*1.5</f>
        <v>91.021256249999993</v>
      </c>
      <c r="M45" s="6">
        <v>0.18</v>
      </c>
      <c r="N45" s="6">
        <v>0.13</v>
      </c>
      <c r="O45" s="7">
        <f t="shared" si="8"/>
        <v>196.60591349999999</v>
      </c>
      <c r="P45" s="7">
        <f t="shared" si="8"/>
        <v>141.99315975000002</v>
      </c>
      <c r="R45" s="4"/>
    </row>
    <row r="46" spans="1:18" x14ac:dyDescent="0.2">
      <c r="A46" t="str">
        <f>+A31</f>
        <v>SE + OGPE</v>
      </c>
      <c r="B46" s="5">
        <f t="shared" si="7"/>
        <v>2519</v>
      </c>
      <c r="C46" s="20">
        <f>+B19+B20</f>
        <v>151.32785383539999</v>
      </c>
      <c r="E46" s="6">
        <v>0.59</v>
      </c>
      <c r="F46" s="6">
        <v>0.35</v>
      </c>
      <c r="G46" s="6">
        <v>0.25</v>
      </c>
      <c r="H46" s="7">
        <f t="shared" si="10"/>
        <v>2698859.635784518</v>
      </c>
      <c r="I46" s="7">
        <f t="shared" si="10"/>
        <v>1601018.428007765</v>
      </c>
      <c r="J46" s="7">
        <f t="shared" si="6"/>
        <v>1143584.5914341179</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164.37034700309999</v>
      </c>
      <c r="E47" s="6">
        <v>0.59</v>
      </c>
      <c r="F47" s="6">
        <v>0.35</v>
      </c>
      <c r="G47" s="6">
        <v>0.25</v>
      </c>
      <c r="H47" s="7">
        <f t="shared" si="10"/>
        <v>17456.13085172922</v>
      </c>
      <c r="I47" s="7">
        <f t="shared" si="10"/>
        <v>10355.3318611953</v>
      </c>
      <c r="J47" s="7">
        <f t="shared" si="6"/>
        <v>7396.6656151395</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21.280120313361181</v>
      </c>
      <c r="E48" s="6">
        <v>0.59</v>
      </c>
      <c r="F48" s="6">
        <v>0.35</v>
      </c>
      <c r="G48" s="6">
        <v>0.25</v>
      </c>
      <c r="H48" s="7">
        <f t="shared" si="10"/>
        <v>78344.890945670515</v>
      </c>
      <c r="I48" s="7">
        <f t="shared" si="10"/>
        <v>46475.78276438082</v>
      </c>
      <c r="J48" s="7">
        <f t="shared" si="6"/>
        <v>33196.987688843445</v>
      </c>
      <c r="L48" s="14">
        <f>+B18</f>
        <v>60.680837499999996</v>
      </c>
      <c r="M48" s="6">
        <v>0.18</v>
      </c>
      <c r="N48" s="6">
        <v>0.13</v>
      </c>
      <c r="O48" s="7">
        <f t="shared" si="8"/>
        <v>68156.716679999998</v>
      </c>
      <c r="P48" s="7">
        <f t="shared" si="8"/>
        <v>49224.295379999996</v>
      </c>
      <c r="R48" s="4"/>
    </row>
    <row r="49" spans="1:18" x14ac:dyDescent="0.2">
      <c r="A49" t="str">
        <f t="shared" si="11"/>
        <v>transfill only</v>
      </c>
      <c r="B49" s="5">
        <f t="shared" si="7"/>
        <v>196</v>
      </c>
      <c r="C49" s="20">
        <f>+B20</f>
        <v>41.747622500000006</v>
      </c>
      <c r="E49" s="6">
        <v>0.59</v>
      </c>
      <c r="F49" s="6">
        <v>0.35</v>
      </c>
      <c r="G49" s="6">
        <v>0.25</v>
      </c>
      <c r="H49" s="7">
        <f t="shared" si="10"/>
        <v>57932.340790800008</v>
      </c>
      <c r="I49" s="7">
        <f t="shared" si="10"/>
        <v>34366.642842000001</v>
      </c>
      <c r="J49" s="7">
        <f t="shared" si="6"/>
        <v>24547.602030000002</v>
      </c>
      <c r="L49" s="14">
        <v>0</v>
      </c>
      <c r="M49" s="6">
        <v>0.18</v>
      </c>
      <c r="N49" s="6">
        <v>0.13</v>
      </c>
      <c r="O49" s="7">
        <f t="shared" si="8"/>
        <v>0</v>
      </c>
      <c r="P49" s="7">
        <f t="shared" si="8"/>
        <v>0</v>
      </c>
      <c r="R49" s="4"/>
    </row>
    <row r="50" spans="1:18" x14ac:dyDescent="0.2">
      <c r="A50" t="str">
        <f>+A35</f>
        <v>Total</v>
      </c>
      <c r="B50" s="8">
        <v>16386</v>
      </c>
      <c r="H50" s="4">
        <f>+SUM(H40:H49)</f>
        <v>14667590.228257213</v>
      </c>
      <c r="I50" s="4">
        <f t="shared" ref="I50:J50" si="12">+SUM(I40:I49)</f>
        <v>8803412.4937450215</v>
      </c>
      <c r="J50" s="4">
        <f t="shared" si="12"/>
        <v>6318583.7769201584</v>
      </c>
      <c r="O50" s="4">
        <f t="shared" ref="O50:P50" si="13">+SUM(O40:O49)</f>
        <v>1076679.5176304998</v>
      </c>
      <c r="P50" s="4">
        <f t="shared" si="13"/>
        <v>777601.87384424999</v>
      </c>
      <c r="Q50" s="4">
        <f>SUM(H50:P50)</f>
        <v>31643867.890397143</v>
      </c>
    </row>
    <row r="51" spans="1:18" ht="13.5" thickBot="1" x14ac:dyDescent="0.25">
      <c r="B51" s="11"/>
      <c r="C51" s="24"/>
      <c r="I51" s="4" t="s">
        <v>7</v>
      </c>
      <c r="Q51" s="4">
        <f>Q50-Q35</f>
        <v>2009893.2586830817</v>
      </c>
      <c r="R51">
        <f>+Q51/Q35</f>
        <v>6.7823951517192324E-2</v>
      </c>
    </row>
    <row r="52" spans="1:18" ht="14.25" thickTop="1" thickBot="1" x14ac:dyDescent="0.25">
      <c r="A52" s="11"/>
      <c r="I52" s="13" t="s">
        <v>7</v>
      </c>
      <c r="O52" s="39" t="s">
        <v>20</v>
      </c>
      <c r="P52" s="40"/>
      <c r="Q52" s="51">
        <v>6.3549998999999996E-2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102.62</v>
      </c>
      <c r="E57" s="6">
        <v>0.65</v>
      </c>
      <c r="F57" s="6">
        <v>0.4</v>
      </c>
      <c r="G57" s="6">
        <v>0.28999999999999998</v>
      </c>
      <c r="H57" s="7">
        <f>$B57*$C57*E57*12</f>
        <v>4322354.4000000004</v>
      </c>
      <c r="I57" s="7">
        <f>$B57*$C57*F57*12</f>
        <v>2659910.4000000004</v>
      </c>
      <c r="J57" s="7">
        <f>$B57*$C57*G57*12</f>
        <v>1928435.0399999998</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153.91999999999999</v>
      </c>
      <c r="E58" s="6">
        <v>0.59</v>
      </c>
      <c r="F58" s="6">
        <v>0.35</v>
      </c>
      <c r="G58" s="6">
        <v>0.25</v>
      </c>
      <c r="H58" s="7">
        <f t="shared" ref="H58:I60" si="18">$B58*$C58*E58*12</f>
        <v>45769.651199999993</v>
      </c>
      <c r="I58" s="7">
        <f t="shared" si="18"/>
        <v>27151.487999999998</v>
      </c>
      <c r="J58" s="7">
        <f>$B58*$C58*G58*12</f>
        <v>19393.919999999998</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122.54</v>
      </c>
      <c r="E59" s="6">
        <v>0.59</v>
      </c>
      <c r="F59" s="6">
        <v>0.35</v>
      </c>
      <c r="G59" s="6">
        <v>0.25</v>
      </c>
      <c r="H59" s="7">
        <f t="shared" si="18"/>
        <v>6566737.2408000007</v>
      </c>
      <c r="I59" s="7">
        <f t="shared" si="18"/>
        <v>3895522.0919999992</v>
      </c>
      <c r="J59" s="7">
        <f>$B59*$C59*G59*12</f>
        <v>2782515.7800000003</v>
      </c>
      <c r="L59" s="55">
        <f t="shared" si="16"/>
        <v>56.824570337555834</v>
      </c>
      <c r="M59" s="6">
        <v>0.18</v>
      </c>
      <c r="N59" s="6">
        <v>0.13</v>
      </c>
      <c r="O59" s="7">
        <f t="shared" si="19"/>
        <v>929027.17343151383</v>
      </c>
      <c r="P59" s="7">
        <f t="shared" si="19"/>
        <v>670964.06970053783</v>
      </c>
    </row>
    <row r="60" spans="1:18" x14ac:dyDescent="0.2">
      <c r="A60" t="str">
        <f t="shared" si="15"/>
        <v>SE + high flow + portable gas¹</v>
      </c>
      <c r="B60">
        <f t="shared" si="14"/>
        <v>43</v>
      </c>
      <c r="C60" s="28">
        <f t="shared" si="17"/>
        <v>153.91999999999999</v>
      </c>
      <c r="E60" s="6">
        <v>0.59</v>
      </c>
      <c r="F60" s="6">
        <v>0.35</v>
      </c>
      <c r="G60" s="6">
        <v>0.25</v>
      </c>
      <c r="H60" s="7">
        <f t="shared" si="18"/>
        <v>46859.404799999997</v>
      </c>
      <c r="I60" s="7">
        <f t="shared" si="18"/>
        <v>27797.951999999997</v>
      </c>
      <c r="J60" s="7">
        <f>$B60*$C60*G60*12</f>
        <v>19855.68</v>
      </c>
      <c r="L60" s="55">
        <f t="shared" si="16"/>
        <v>56.824570337555834</v>
      </c>
      <c r="M60" s="6">
        <v>0.18</v>
      </c>
      <c r="N60" s="6">
        <v>0.13</v>
      </c>
      <c r="O60" s="7">
        <f t="shared" si="19"/>
        <v>5277.8660929521866</v>
      </c>
      <c r="P60" s="7">
        <f t="shared" si="19"/>
        <v>3811.7921782432459</v>
      </c>
    </row>
    <row r="61" spans="1:18" x14ac:dyDescent="0.2">
      <c r="A61" t="str">
        <f t="shared" si="15"/>
        <v>SE + portable liquid</v>
      </c>
      <c r="B61">
        <f t="shared" si="14"/>
        <v>81</v>
      </c>
      <c r="C61" s="28">
        <f t="shared" si="17"/>
        <v>141.71</v>
      </c>
      <c r="E61" s="6">
        <v>0.59</v>
      </c>
      <c r="F61" s="6">
        <v>0.35</v>
      </c>
      <c r="G61" s="6">
        <v>0.25</v>
      </c>
      <c r="H61" s="7">
        <f>$B61*$C61*E61*12</f>
        <v>81267.8508</v>
      </c>
      <c r="I61" s="7">
        <f>$B61*$C61*F61*12</f>
        <v>48209.741999999998</v>
      </c>
      <c r="J61" s="7">
        <f>$B61*$C61*G61*12</f>
        <v>34435.53</v>
      </c>
      <c r="L61" s="55">
        <f t="shared" si="16"/>
        <v>56.824570337555834</v>
      </c>
      <c r="M61" s="6">
        <v>0.18</v>
      </c>
      <c r="N61" s="6">
        <v>0.13</v>
      </c>
      <c r="O61" s="7">
        <f t="shared" si="19"/>
        <v>9942.0268262587688</v>
      </c>
      <c r="P61" s="7">
        <f t="shared" si="19"/>
        <v>7180.3527078535562</v>
      </c>
    </row>
    <row r="62" spans="1:18" x14ac:dyDescent="0.2">
      <c r="A62" t="str">
        <f t="shared" si="15"/>
        <v>SE + high flow + portable liquid¹</v>
      </c>
      <c r="B62">
        <f>+B45</f>
        <v>1</v>
      </c>
      <c r="C62" s="28">
        <f t="shared" si="17"/>
        <v>153.91999999999999</v>
      </c>
      <c r="E62" s="6">
        <v>0.59</v>
      </c>
      <c r="F62" s="6">
        <v>0.35</v>
      </c>
      <c r="G62" s="6">
        <v>0.25</v>
      </c>
      <c r="H62" s="7">
        <f>$B62*$C62*E62*12</f>
        <v>1089.7535999999998</v>
      </c>
      <c r="I62" s="7">
        <f>$B62*$C62*F62*12</f>
        <v>646.46399999999994</v>
      </c>
      <c r="J62" s="7">
        <f>$B62*$C62*G62*12</f>
        <v>461.76</v>
      </c>
      <c r="L62" s="55">
        <f t="shared" si="16"/>
        <v>85.236855506333754</v>
      </c>
      <c r="M62" s="6">
        <v>0.18</v>
      </c>
      <c r="N62" s="6">
        <v>0.13</v>
      </c>
      <c r="O62" s="7">
        <f t="shared" si="19"/>
        <v>184.11160789368088</v>
      </c>
      <c r="P62" s="7">
        <f t="shared" si="19"/>
        <v>132.96949458988064</v>
      </c>
    </row>
    <row r="63" spans="1:18" x14ac:dyDescent="0.2">
      <c r="A63" t="str">
        <f t="shared" si="15"/>
        <v>SE + OGPE</v>
      </c>
      <c r="B63">
        <f>+B46</f>
        <v>2519</v>
      </c>
      <c r="C63" s="28">
        <f t="shared" si="17"/>
        <v>141.71</v>
      </c>
      <c r="E63" s="6">
        <v>0.59</v>
      </c>
      <c r="F63" s="6">
        <v>0.35</v>
      </c>
      <c r="G63" s="6">
        <v>0.25</v>
      </c>
      <c r="H63" s="7">
        <f t="shared" ref="H63:J66" si="20">$B63*$C63*E63*12</f>
        <v>2527329.8292000005</v>
      </c>
      <c r="I63" s="7">
        <f t="shared" si="20"/>
        <v>1499263.4580000001</v>
      </c>
      <c r="J63" s="7">
        <f t="shared" si="20"/>
        <v>1070902.4700000002</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153.91999999999999</v>
      </c>
      <c r="E64" s="6">
        <v>0.59</v>
      </c>
      <c r="F64" s="6">
        <v>0.35</v>
      </c>
      <c r="G64" s="6">
        <v>0.25</v>
      </c>
      <c r="H64" s="7">
        <f t="shared" si="20"/>
        <v>16346.303999999996</v>
      </c>
      <c r="I64" s="7">
        <f t="shared" si="20"/>
        <v>9696.9599999999973</v>
      </c>
      <c r="J64" s="7">
        <f t="shared" si="20"/>
        <v>6926.4</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19.93</v>
      </c>
      <c r="E65" s="6">
        <v>0.59</v>
      </c>
      <c r="F65" s="6">
        <v>0.35</v>
      </c>
      <c r="G65" s="6">
        <v>0.25</v>
      </c>
      <c r="H65" s="7">
        <f t="shared" si="20"/>
        <v>73374.288</v>
      </c>
      <c r="I65" s="7">
        <f t="shared" si="20"/>
        <v>43527.119999999995</v>
      </c>
      <c r="J65" s="7">
        <f t="shared" si="20"/>
        <v>31090.800000000003</v>
      </c>
      <c r="L65" s="55">
        <f t="shared" si="16"/>
        <v>56.824570337555834</v>
      </c>
      <c r="M65" s="6">
        <v>0.18</v>
      </c>
      <c r="N65" s="6">
        <v>0.13</v>
      </c>
      <c r="O65" s="7">
        <f t="shared" si="19"/>
        <v>63825.357403142712</v>
      </c>
      <c r="P65" s="7">
        <f t="shared" si="19"/>
        <v>46096.0914578253</v>
      </c>
      <c r="Q65" s="4"/>
    </row>
    <row r="66" spans="1:17" x14ac:dyDescent="0.2">
      <c r="A66" t="str">
        <f t="shared" si="15"/>
        <v>transfill only</v>
      </c>
      <c r="B66">
        <f>+B49</f>
        <v>196</v>
      </c>
      <c r="C66" s="28">
        <f t="shared" si="17"/>
        <v>39.090000000000003</v>
      </c>
      <c r="E66" s="6">
        <v>0.59</v>
      </c>
      <c r="F66" s="6">
        <v>0.35</v>
      </c>
      <c r="G66" s="6">
        <v>0.25</v>
      </c>
      <c r="H66" s="7">
        <f t="shared" si="20"/>
        <v>54244.411199999995</v>
      </c>
      <c r="I66" s="7">
        <f t="shared" si="20"/>
        <v>32178.887999999999</v>
      </c>
      <c r="J66" s="7">
        <f t="shared" si="20"/>
        <v>22984.920000000002</v>
      </c>
      <c r="L66" s="55">
        <f t="shared" si="16"/>
        <v>0</v>
      </c>
      <c r="M66" s="6">
        <v>0.18</v>
      </c>
      <c r="N66" s="6">
        <v>0.13</v>
      </c>
      <c r="O66" s="7">
        <f t="shared" si="19"/>
        <v>0</v>
      </c>
      <c r="P66" s="7">
        <f t="shared" si="19"/>
        <v>0</v>
      </c>
      <c r="Q66" s="4"/>
    </row>
    <row r="67" spans="1:17" x14ac:dyDescent="0.2">
      <c r="A67" s="38" t="s">
        <v>7</v>
      </c>
      <c r="B67" s="8">
        <f>+SUM(B57:B66)</f>
        <v>16386</v>
      </c>
      <c r="H67" s="4">
        <f>SUM(H57:H66)</f>
        <v>13735373.133600002</v>
      </c>
      <c r="I67" s="4">
        <f t="shared" ref="I67:J67" si="21">SUM(I57:I66)</f>
        <v>8243904.5639999993</v>
      </c>
      <c r="J67" s="4">
        <f t="shared" si="21"/>
        <v>5917002.2999999998</v>
      </c>
      <c r="O67" s="4">
        <f t="shared" ref="O67:P67" si="22">SUM(O57:O66)</f>
        <v>1008256.5353617612</v>
      </c>
      <c r="P67" s="4">
        <f t="shared" si="22"/>
        <v>728185.27553904976</v>
      </c>
      <c r="Q67" s="4">
        <f>SUM(H67:P67)</f>
        <v>29632721.808500811</v>
      </c>
    </row>
    <row r="68" spans="1:17" x14ac:dyDescent="0.2">
      <c r="Q68" s="13">
        <f>+Q67/Q35</f>
        <v>0.99995772341615263</v>
      </c>
    </row>
  </sheetData>
  <mergeCells count="4">
    <mergeCell ref="A1:R1"/>
    <mergeCell ref="F17:H17"/>
    <mergeCell ref="F18:G18"/>
    <mergeCell ref="F19:G19"/>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8"/>
  <sheetViews>
    <sheetView topLeftCell="A47" workbookViewId="0">
      <selection activeCell="Q53" sqref="Q53"/>
    </sheetView>
  </sheetViews>
  <sheetFormatPr defaultRowHeight="12.75" x14ac:dyDescent="0.2"/>
  <cols>
    <col min="8" max="8" width="12.28515625" customWidth="1"/>
    <col min="9" max="9" width="15.28515625" customWidth="1"/>
    <col min="10" max="10" width="13.85546875" customWidth="1"/>
    <col min="15" max="15" width="12.7109375" customWidth="1"/>
    <col min="16" max="16" width="12.42578125" customWidth="1"/>
    <col min="17" max="17" width="13.7109375" customWidth="1"/>
  </cols>
  <sheetData>
    <row r="1" spans="1:18" ht="23.25" x14ac:dyDescent="0.2">
      <c r="A1" s="135"/>
      <c r="B1" s="135"/>
      <c r="C1" s="135"/>
      <c r="D1" s="135"/>
      <c r="E1" s="135"/>
      <c r="F1" s="135"/>
      <c r="G1" s="135"/>
      <c r="H1" s="135"/>
      <c r="I1" s="135"/>
      <c r="J1" s="135"/>
      <c r="K1" s="135"/>
      <c r="L1" s="135"/>
      <c r="M1" s="135"/>
      <c r="N1" s="135"/>
      <c r="O1" s="135"/>
      <c r="P1" s="135"/>
      <c r="Q1" s="135"/>
      <c r="R1" s="135"/>
    </row>
    <row r="2" spans="1:18" x14ac:dyDescent="0.2">
      <c r="A2" s="41" t="s">
        <v>7</v>
      </c>
      <c r="B2" s="22"/>
      <c r="C2" s="22"/>
      <c r="D2" s="22"/>
      <c r="E2" s="22"/>
      <c r="F2" s="19"/>
      <c r="G2" s="19"/>
      <c r="H2" s="19"/>
      <c r="I2" s="19"/>
      <c r="J2" s="19"/>
      <c r="K2" s="19"/>
      <c r="L2" s="19"/>
      <c r="M2" s="19"/>
      <c r="N2" s="19"/>
      <c r="O2" s="19"/>
      <c r="P2" s="19"/>
      <c r="Q2" s="19"/>
      <c r="R2" s="18"/>
    </row>
    <row r="3" spans="1:18" x14ac:dyDescent="0.2">
      <c r="A3" s="42" t="s">
        <v>45</v>
      </c>
      <c r="B3" s="18"/>
      <c r="C3" s="43"/>
      <c r="D3" s="43"/>
      <c r="E3" s="43"/>
      <c r="F3" s="19"/>
      <c r="G3" s="19"/>
      <c r="H3" s="19"/>
      <c r="I3" s="19"/>
      <c r="J3" s="19"/>
      <c r="K3" s="19"/>
      <c r="L3" s="19"/>
      <c r="M3" s="44"/>
      <c r="N3" s="19"/>
      <c r="O3" s="19"/>
      <c r="P3" s="19"/>
      <c r="Q3" s="19"/>
      <c r="R3" s="18"/>
    </row>
    <row r="4" spans="1:18" ht="25.5" x14ac:dyDescent="0.2">
      <c r="A4" s="42"/>
      <c r="B4" s="42" t="s">
        <v>47</v>
      </c>
      <c r="C4" s="43"/>
      <c r="D4" s="43"/>
      <c r="E4" s="43"/>
      <c r="F4" s="19"/>
      <c r="G4" s="19"/>
      <c r="H4" s="19"/>
      <c r="I4" s="19"/>
      <c r="J4" s="19"/>
      <c r="K4" s="19"/>
      <c r="L4" s="19"/>
      <c r="M4" s="19"/>
      <c r="N4" s="19"/>
      <c r="O4" s="19"/>
      <c r="P4" s="19"/>
      <c r="Q4" s="19"/>
      <c r="R4" s="18"/>
    </row>
    <row r="5" spans="1:18" x14ac:dyDescent="0.2">
      <c r="A5" s="35" t="s">
        <v>78</v>
      </c>
      <c r="B5" s="46">
        <v>5400</v>
      </c>
      <c r="C5" s="43"/>
      <c r="D5" s="43"/>
      <c r="E5" s="43"/>
      <c r="F5" s="19"/>
      <c r="G5" s="19"/>
      <c r="H5" s="19"/>
      <c r="I5" s="19"/>
      <c r="J5" s="19"/>
      <c r="K5" s="19"/>
      <c r="L5" s="19"/>
      <c r="M5" s="19"/>
      <c r="N5" s="19"/>
      <c r="O5" s="19"/>
      <c r="P5" s="19"/>
      <c r="Q5" s="19"/>
      <c r="R5" s="18"/>
    </row>
    <row r="6" spans="1:18" x14ac:dyDescent="0.2">
      <c r="A6" s="52" t="s">
        <v>80</v>
      </c>
      <c r="B6" s="46">
        <v>42</v>
      </c>
      <c r="C6" s="43"/>
      <c r="D6" s="43"/>
      <c r="E6" s="43"/>
      <c r="F6" s="19"/>
      <c r="G6" s="19"/>
      <c r="H6" s="19"/>
      <c r="I6" s="19"/>
      <c r="J6" s="19"/>
      <c r="K6" s="19"/>
      <c r="L6" s="19"/>
      <c r="M6" s="19"/>
      <c r="N6" s="19"/>
      <c r="O6" s="19"/>
      <c r="P6" s="19"/>
      <c r="Q6" s="19"/>
      <c r="R6" s="18"/>
    </row>
    <row r="7" spans="1:18" x14ac:dyDescent="0.2">
      <c r="A7" s="52" t="s">
        <v>79</v>
      </c>
      <c r="B7" s="46">
        <v>7569</v>
      </c>
      <c r="C7" s="43"/>
      <c r="D7" s="43"/>
      <c r="E7" s="43"/>
      <c r="F7" s="19"/>
      <c r="G7" s="19"/>
      <c r="H7" s="19"/>
      <c r="I7" s="19"/>
      <c r="J7" s="19"/>
      <c r="K7" s="19"/>
      <c r="L7" s="19"/>
      <c r="M7" s="19"/>
      <c r="N7" s="19"/>
      <c r="O7" s="19"/>
      <c r="P7" s="19"/>
      <c r="Q7" s="19"/>
      <c r="R7" s="18"/>
    </row>
    <row r="8" spans="1:18" x14ac:dyDescent="0.2">
      <c r="A8" s="35" t="s">
        <v>81</v>
      </c>
      <c r="B8" s="46">
        <v>43</v>
      </c>
      <c r="C8" s="43"/>
      <c r="D8" s="43"/>
      <c r="E8" s="43"/>
      <c r="F8" s="19"/>
      <c r="G8" s="19"/>
      <c r="H8" s="19"/>
      <c r="I8" s="19"/>
      <c r="J8" s="19"/>
      <c r="K8" s="19"/>
      <c r="L8" s="19"/>
      <c r="M8" s="19"/>
      <c r="N8" s="19"/>
      <c r="O8" s="19"/>
      <c r="P8" s="19"/>
      <c r="Q8" s="19"/>
      <c r="R8" s="18"/>
    </row>
    <row r="9" spans="1:18" x14ac:dyDescent="0.2">
      <c r="A9" s="52" t="s">
        <v>82</v>
      </c>
      <c r="B9" s="46">
        <v>81</v>
      </c>
      <c r="C9" s="43"/>
      <c r="D9" s="43"/>
      <c r="E9" s="43"/>
      <c r="F9" s="19"/>
      <c r="G9" s="19"/>
      <c r="H9" s="19"/>
      <c r="I9" s="19"/>
      <c r="J9" s="19"/>
      <c r="K9" s="19"/>
      <c r="L9" s="19"/>
      <c r="M9" s="19"/>
      <c r="N9" s="19"/>
      <c r="O9" s="19"/>
      <c r="P9" s="19"/>
      <c r="Q9" s="19"/>
      <c r="R9" s="18"/>
    </row>
    <row r="10" spans="1:18" x14ac:dyDescent="0.2">
      <c r="A10" s="52" t="s">
        <v>83</v>
      </c>
      <c r="B10" s="46">
        <v>1</v>
      </c>
      <c r="C10" s="43"/>
      <c r="D10" s="43"/>
      <c r="E10" s="43"/>
      <c r="F10" s="19"/>
      <c r="G10" s="19"/>
      <c r="H10" s="19"/>
      <c r="I10" s="19"/>
      <c r="J10" s="19"/>
      <c r="K10" s="19"/>
      <c r="L10" s="19"/>
      <c r="M10" s="19"/>
      <c r="N10" s="19"/>
      <c r="O10" s="19"/>
      <c r="P10" s="19"/>
      <c r="Q10" s="19"/>
      <c r="R10" s="18"/>
    </row>
    <row r="11" spans="1:18" x14ac:dyDescent="0.2">
      <c r="A11" s="52" t="s">
        <v>84</v>
      </c>
      <c r="B11" s="46">
        <v>2519</v>
      </c>
      <c r="C11" s="43"/>
      <c r="D11" s="43"/>
      <c r="E11" s="43"/>
      <c r="F11" s="19"/>
      <c r="G11" s="19"/>
      <c r="H11" s="19"/>
      <c r="I11" s="19"/>
      <c r="J11" s="19"/>
      <c r="K11" s="19"/>
      <c r="L11" s="19"/>
      <c r="M11" s="19"/>
      <c r="N11" s="19"/>
      <c r="O11" s="19"/>
      <c r="P11" s="19"/>
      <c r="Q11" s="19"/>
      <c r="R11" s="18"/>
    </row>
    <row r="12" spans="1:18" x14ac:dyDescent="0.2">
      <c r="A12" s="52" t="s">
        <v>85</v>
      </c>
      <c r="B12" s="46">
        <v>15</v>
      </c>
      <c r="C12" s="43"/>
      <c r="D12" s="43"/>
      <c r="E12" s="43"/>
      <c r="F12" s="19"/>
      <c r="G12" s="19"/>
      <c r="H12" s="19"/>
      <c r="I12" s="19"/>
      <c r="J12" s="19"/>
      <c r="K12" s="19"/>
      <c r="L12" s="19"/>
      <c r="M12" s="19"/>
      <c r="N12" s="19"/>
      <c r="O12" s="19"/>
      <c r="P12" s="19"/>
      <c r="Q12" s="19"/>
      <c r="R12" s="18"/>
    </row>
    <row r="13" spans="1:18" x14ac:dyDescent="0.2">
      <c r="A13" s="52" t="s">
        <v>92</v>
      </c>
      <c r="B13" s="46">
        <v>520</v>
      </c>
      <c r="C13" s="43"/>
      <c r="D13" s="43"/>
      <c r="E13" s="43"/>
      <c r="F13" s="19"/>
      <c r="G13" s="19"/>
      <c r="H13" s="19"/>
      <c r="I13" s="19"/>
      <c r="J13" s="19"/>
      <c r="K13" s="19"/>
      <c r="L13" s="19"/>
      <c r="M13" s="19"/>
      <c r="N13" s="19"/>
      <c r="O13" s="19"/>
      <c r="P13" s="19"/>
      <c r="Q13" s="19"/>
      <c r="R13" s="18"/>
    </row>
    <row r="14" spans="1:18" x14ac:dyDescent="0.2">
      <c r="A14" s="52" t="s">
        <v>91</v>
      </c>
      <c r="B14" s="46">
        <v>196</v>
      </c>
      <c r="C14" s="43"/>
      <c r="D14" s="43"/>
      <c r="E14" s="43"/>
      <c r="F14" s="19"/>
      <c r="G14" s="19"/>
      <c r="H14" s="19"/>
      <c r="I14" s="19"/>
      <c r="J14" s="19"/>
      <c r="K14" s="19"/>
      <c r="L14" s="19"/>
      <c r="M14" s="19"/>
      <c r="N14" s="19"/>
      <c r="O14" s="19"/>
      <c r="P14" s="19"/>
      <c r="Q14" s="19"/>
      <c r="R14" s="18"/>
    </row>
    <row r="15" spans="1:18" x14ac:dyDescent="0.2">
      <c r="A15" s="66" t="s">
        <v>94</v>
      </c>
      <c r="B15" s="46"/>
      <c r="C15" s="43"/>
      <c r="D15" s="43"/>
      <c r="E15" s="43"/>
      <c r="F15" s="19"/>
      <c r="G15" s="19"/>
      <c r="H15" s="19"/>
      <c r="I15" s="19"/>
      <c r="J15" s="19"/>
      <c r="K15" s="19"/>
      <c r="L15" s="19"/>
      <c r="M15" s="19"/>
      <c r="N15" s="19"/>
      <c r="O15" s="19"/>
      <c r="P15" s="19"/>
      <c r="Q15" s="19"/>
      <c r="R15" s="18"/>
    </row>
    <row r="16" spans="1:18" ht="26.25" thickBot="1" x14ac:dyDescent="0.25">
      <c r="A16" s="42"/>
      <c r="B16" s="42" t="s">
        <v>130</v>
      </c>
      <c r="C16" s="43"/>
      <c r="D16" s="43"/>
      <c r="E16" s="43"/>
      <c r="F16" s="19"/>
      <c r="G16" s="19"/>
      <c r="H16" s="19"/>
      <c r="I16" s="19"/>
      <c r="J16" s="19"/>
      <c r="K16" s="19"/>
      <c r="L16" s="19"/>
      <c r="M16" s="19"/>
      <c r="N16" s="19"/>
      <c r="O16" s="19"/>
      <c r="P16" s="19"/>
      <c r="Q16" s="19"/>
      <c r="R16" s="18"/>
    </row>
    <row r="17" spans="1:18" ht="13.5" thickBot="1" x14ac:dyDescent="0.25">
      <c r="A17" s="42" t="s">
        <v>26</v>
      </c>
      <c r="B17" s="48">
        <v>21.490120313361182</v>
      </c>
      <c r="C17" s="22"/>
      <c r="D17" s="22"/>
      <c r="E17" s="22"/>
      <c r="F17" s="136" t="s">
        <v>58</v>
      </c>
      <c r="G17" s="137"/>
      <c r="H17" s="138"/>
      <c r="I17" s="19"/>
      <c r="J17" s="19"/>
      <c r="K17" s="19"/>
      <c r="L17" s="19"/>
      <c r="M17" s="19"/>
      <c r="N17" s="19"/>
      <c r="O17" s="19"/>
      <c r="P17" s="19"/>
      <c r="Q17" s="19"/>
      <c r="R17" s="18"/>
    </row>
    <row r="18" spans="1:18" x14ac:dyDescent="0.2">
      <c r="A18" s="42" t="s">
        <v>46</v>
      </c>
      <c r="B18" s="48">
        <v>61.2323375</v>
      </c>
      <c r="C18" s="22"/>
      <c r="D18" s="41" t="s">
        <v>7</v>
      </c>
      <c r="E18" s="22"/>
      <c r="F18" s="139" t="s">
        <v>60</v>
      </c>
      <c r="G18" s="140"/>
      <c r="H18" s="53">
        <v>154.9</v>
      </c>
      <c r="I18" s="19"/>
      <c r="J18" s="19"/>
      <c r="K18" s="19"/>
      <c r="L18" s="19"/>
      <c r="M18" s="19"/>
      <c r="N18" s="19"/>
      <c r="O18" s="19"/>
      <c r="P18" s="19"/>
      <c r="Q18" s="19"/>
      <c r="R18" s="18"/>
    </row>
    <row r="19" spans="1:18" ht="13.5" thickBot="1" x14ac:dyDescent="0.25">
      <c r="A19" s="42" t="s">
        <v>32</v>
      </c>
      <c r="B19" s="48">
        <v>109.9097313354</v>
      </c>
      <c r="C19" s="22"/>
      <c r="D19" s="22"/>
      <c r="E19" s="22"/>
      <c r="F19" s="141" t="s">
        <v>59</v>
      </c>
      <c r="G19" s="142"/>
      <c r="H19" s="54">
        <v>20.77</v>
      </c>
      <c r="I19" s="19"/>
      <c r="J19" s="19"/>
      <c r="K19" s="19"/>
      <c r="L19" s="19"/>
      <c r="M19" s="19"/>
      <c r="N19" s="19"/>
      <c r="O19" s="19"/>
      <c r="P19" s="19"/>
      <c r="Q19" s="19"/>
      <c r="R19" s="18"/>
    </row>
    <row r="20" spans="1:18" x14ac:dyDescent="0.2">
      <c r="A20" s="42" t="s">
        <v>29</v>
      </c>
      <c r="B20" s="48">
        <v>43.017122499999999</v>
      </c>
      <c r="C20" s="22"/>
      <c r="D20" s="22"/>
      <c r="E20" s="22"/>
      <c r="F20" s="19"/>
      <c r="G20" s="19"/>
      <c r="H20" s="19"/>
      <c r="I20" s="19"/>
      <c r="J20" s="19"/>
      <c r="K20" s="19"/>
      <c r="L20" s="19"/>
      <c r="M20" s="19"/>
      <c r="N20" s="19"/>
      <c r="O20" s="19"/>
      <c r="P20" s="19"/>
      <c r="Q20" s="19"/>
      <c r="R20" s="18"/>
    </row>
    <row r="21" spans="1:18" x14ac:dyDescent="0.2">
      <c r="A21" s="41"/>
      <c r="B21" s="22"/>
      <c r="C21" s="22"/>
      <c r="D21" s="22"/>
      <c r="E21" s="22"/>
      <c r="F21" s="19"/>
      <c r="G21" s="19"/>
      <c r="H21" s="19"/>
      <c r="I21" s="19"/>
      <c r="J21" s="19"/>
      <c r="K21" s="19"/>
      <c r="L21" s="19"/>
      <c r="M21" s="19"/>
      <c r="N21" s="19"/>
      <c r="O21" s="19"/>
      <c r="P21" s="19"/>
      <c r="Q21" s="19"/>
      <c r="R21" s="18"/>
    </row>
    <row r="22" spans="1:18" x14ac:dyDescent="0.2">
      <c r="A22" s="3" t="s">
        <v>57</v>
      </c>
      <c r="B22" s="23"/>
      <c r="C22" s="23"/>
      <c r="D22" s="23"/>
      <c r="E22" s="23"/>
      <c r="L22" s="56"/>
      <c r="M22" s="9"/>
      <c r="N22" s="9"/>
      <c r="O22" s="57"/>
      <c r="Q22" s="29"/>
    </row>
    <row r="23" spans="1:18" x14ac:dyDescent="0.2">
      <c r="C23" s="56" t="s">
        <v>10</v>
      </c>
      <c r="E23" s="9" t="s">
        <v>12</v>
      </c>
      <c r="F23" s="9"/>
      <c r="G23" s="9"/>
      <c r="H23" s="10"/>
      <c r="I23" s="10"/>
      <c r="L23" s="56" t="s">
        <v>8</v>
      </c>
      <c r="M23" s="9" t="s">
        <v>13</v>
      </c>
      <c r="N23" s="9"/>
      <c r="O23" s="57" t="s">
        <v>7</v>
      </c>
    </row>
    <row r="24" spans="1:18" x14ac:dyDescent="0.2">
      <c r="B24" s="1" t="s">
        <v>0</v>
      </c>
      <c r="C24" s="2" t="s">
        <v>11</v>
      </c>
      <c r="D24" s="2"/>
      <c r="E24" s="2" t="s">
        <v>1</v>
      </c>
      <c r="F24" s="2" t="s">
        <v>2</v>
      </c>
      <c r="G24" s="2" t="s">
        <v>3</v>
      </c>
      <c r="H24" s="2" t="s">
        <v>17</v>
      </c>
      <c r="I24" s="2" t="s">
        <v>2</v>
      </c>
      <c r="J24" s="2" t="s">
        <v>3</v>
      </c>
      <c r="L24" s="2" t="s">
        <v>9</v>
      </c>
      <c r="M24" s="2" t="s">
        <v>4</v>
      </c>
      <c r="N24" s="2" t="s">
        <v>5</v>
      </c>
      <c r="O24" s="2" t="s">
        <v>18</v>
      </c>
      <c r="P24" s="2" t="s">
        <v>19</v>
      </c>
    </row>
    <row r="25" spans="1:18" x14ac:dyDescent="0.2">
      <c r="A25" t="str">
        <f>+A5</f>
        <v>SE only</v>
      </c>
      <c r="B25" s="49">
        <f>+B5</f>
        <v>5400</v>
      </c>
      <c r="C25" s="20">
        <f>+B19</f>
        <v>109.9097313354</v>
      </c>
      <c r="D25" s="7"/>
      <c r="E25" s="6">
        <v>0.65</v>
      </c>
      <c r="F25" s="6">
        <v>0.4</v>
      </c>
      <c r="G25" s="6">
        <v>0.28999999999999998</v>
      </c>
      <c r="H25" s="7">
        <f t="shared" ref="H25:J34" si="0">$B25*$C25*E25*12</f>
        <v>4629397.8838470476</v>
      </c>
      <c r="I25" s="7">
        <f t="shared" si="0"/>
        <v>2848860.2362135677</v>
      </c>
      <c r="J25" s="7">
        <f t="shared" si="0"/>
        <v>2065423.6712548365</v>
      </c>
      <c r="L25" s="50">
        <v>0</v>
      </c>
      <c r="M25" s="6">
        <v>0.23</v>
      </c>
      <c r="N25" s="6">
        <v>0.17</v>
      </c>
      <c r="O25" s="7">
        <f>$L25*12*(M25)*$B25</f>
        <v>0</v>
      </c>
      <c r="P25" s="7">
        <f>$L25*12*(N25)*$B25</f>
        <v>0</v>
      </c>
    </row>
    <row r="26" spans="1:18" x14ac:dyDescent="0.2">
      <c r="A26" t="str">
        <f t="shared" ref="A26:B34" si="1">+A6</f>
        <v>SE only + high flow (&gt; 4 liters per minute)</v>
      </c>
      <c r="B26" s="49">
        <f t="shared" si="1"/>
        <v>42</v>
      </c>
      <c r="C26" s="20">
        <f>+B19*1.5</f>
        <v>164.86459700309999</v>
      </c>
      <c r="D26" s="7"/>
      <c r="E26" s="6">
        <v>0.59</v>
      </c>
      <c r="F26" s="6">
        <v>0.35</v>
      </c>
      <c r="G26" s="6">
        <v>0.25</v>
      </c>
      <c r="H26" s="7">
        <f t="shared" si="0"/>
        <v>49024.136564841814</v>
      </c>
      <c r="I26" s="7">
        <f t="shared" si="0"/>
        <v>29082.114911346835</v>
      </c>
      <c r="J26" s="7">
        <f t="shared" si="0"/>
        <v>20772.939222390596</v>
      </c>
      <c r="L26" s="14">
        <v>0</v>
      </c>
      <c r="M26" s="6">
        <v>0.18</v>
      </c>
      <c r="N26" s="6">
        <v>0.13</v>
      </c>
      <c r="O26" s="7">
        <f t="shared" ref="O26:P34" si="2">$L26*12*(M26)*$B26</f>
        <v>0</v>
      </c>
      <c r="P26" s="7">
        <f t="shared" si="2"/>
        <v>0</v>
      </c>
    </row>
    <row r="27" spans="1:18" x14ac:dyDescent="0.2">
      <c r="A27" t="str">
        <f t="shared" si="1"/>
        <v>SE + portable gas</v>
      </c>
      <c r="B27" s="49">
        <f t="shared" si="1"/>
        <v>7569</v>
      </c>
      <c r="C27" s="20">
        <f>+B19+B17</f>
        <v>131.39985164876117</v>
      </c>
      <c r="D27" s="7"/>
      <c r="E27" s="6">
        <v>0.59</v>
      </c>
      <c r="F27" s="6">
        <v>0.35</v>
      </c>
      <c r="G27" s="6">
        <v>0.25</v>
      </c>
      <c r="H27" s="7">
        <f t="shared" si="0"/>
        <v>7041523.5780766709</v>
      </c>
      <c r="I27" s="7">
        <f t="shared" si="0"/>
        <v>4177175.0039437879</v>
      </c>
      <c r="J27" s="7">
        <f t="shared" si="0"/>
        <v>2983696.4313884201</v>
      </c>
      <c r="L27" s="14">
        <f>+B$18*2*H$19/H$18</f>
        <v>16.420860553582955</v>
      </c>
      <c r="M27" s="6">
        <v>0.18</v>
      </c>
      <c r="N27" s="6">
        <v>0.13</v>
      </c>
      <c r="O27" s="7">
        <f t="shared" si="2"/>
        <v>268465.30602494988</v>
      </c>
      <c r="P27" s="7">
        <f t="shared" si="2"/>
        <v>193891.60990690824</v>
      </c>
    </row>
    <row r="28" spans="1:18" x14ac:dyDescent="0.2">
      <c r="A28" t="str">
        <f t="shared" si="1"/>
        <v>SE + high flow + portable gas¹</v>
      </c>
      <c r="B28" s="49">
        <f t="shared" si="1"/>
        <v>43</v>
      </c>
      <c r="C28" s="21">
        <f>+IF((B$19*1.5 &gt;B$19+B$17),B$19*1.5,B$19+B$17)</f>
        <v>164.86459700309999</v>
      </c>
      <c r="D28" s="7"/>
      <c r="E28" s="6">
        <v>0.59</v>
      </c>
      <c r="F28" s="6">
        <v>0.35</v>
      </c>
      <c r="G28" s="6">
        <v>0.25</v>
      </c>
      <c r="H28" s="7">
        <f t="shared" si="0"/>
        <v>50191.377911623757</v>
      </c>
      <c r="I28" s="7">
        <f t="shared" si="0"/>
        <v>29774.54621875986</v>
      </c>
      <c r="J28" s="7">
        <f t="shared" si="0"/>
        <v>21267.533013399898</v>
      </c>
      <c r="L28" s="14">
        <f>+B$18*2*H$19/H$18</f>
        <v>16.420860553582955</v>
      </c>
      <c r="M28" s="6">
        <v>0.18</v>
      </c>
      <c r="N28" s="6">
        <v>0.13</v>
      </c>
      <c r="O28" s="7">
        <f t="shared" si="2"/>
        <v>1525.1695282167848</v>
      </c>
      <c r="P28" s="7">
        <f t="shared" si="2"/>
        <v>1101.5113259343448</v>
      </c>
    </row>
    <row r="29" spans="1:18" x14ac:dyDescent="0.2">
      <c r="A29" t="str">
        <f t="shared" si="1"/>
        <v>SE + portable liquid</v>
      </c>
      <c r="B29" s="49">
        <f t="shared" si="1"/>
        <v>81</v>
      </c>
      <c r="C29" s="20">
        <f>+B19+B17</f>
        <v>131.39985164876117</v>
      </c>
      <c r="D29" s="7"/>
      <c r="E29" s="6">
        <v>0.59</v>
      </c>
      <c r="F29" s="6">
        <v>0.35</v>
      </c>
      <c r="G29" s="6">
        <v>0.25</v>
      </c>
      <c r="H29" s="7">
        <f t="shared" si="0"/>
        <v>75355.186923531553</v>
      </c>
      <c r="I29" s="7">
        <f t="shared" si="0"/>
        <v>44702.229530908546</v>
      </c>
      <c r="J29" s="7">
        <f t="shared" si="0"/>
        <v>31930.163950648966</v>
      </c>
      <c r="L29" s="14">
        <f>+B$18*2*H$19/H$18</f>
        <v>16.420860553582955</v>
      </c>
      <c r="M29" s="6">
        <v>0.18</v>
      </c>
      <c r="N29" s="6">
        <v>0.13</v>
      </c>
      <c r="O29" s="7">
        <f t="shared" si="2"/>
        <v>2872.9937624548734</v>
      </c>
      <c r="P29" s="7">
        <f t="shared" si="2"/>
        <v>2074.9399395507421</v>
      </c>
      <c r="R29" s="4"/>
    </row>
    <row r="30" spans="1:18" x14ac:dyDescent="0.2">
      <c r="A30" t="str">
        <f t="shared" si="1"/>
        <v>SE + high flow + portable liquid¹</v>
      </c>
      <c r="B30" s="49">
        <f t="shared" si="1"/>
        <v>1</v>
      </c>
      <c r="C30" s="21">
        <f>+IF((B$19*1.5 &gt;B$19+B$17),B$19*1.5,B$19+B$17)</f>
        <v>164.86459700309999</v>
      </c>
      <c r="D30" s="7"/>
      <c r="E30" s="6">
        <v>0.59</v>
      </c>
      <c r="F30" s="6">
        <v>0.35</v>
      </c>
      <c r="G30" s="6">
        <v>0.25</v>
      </c>
      <c r="H30" s="7">
        <f t="shared" si="0"/>
        <v>1167.2413467819479</v>
      </c>
      <c r="I30" s="7">
        <f t="shared" si="0"/>
        <v>692.43130741301991</v>
      </c>
      <c r="J30" s="7">
        <f t="shared" si="0"/>
        <v>494.59379100929993</v>
      </c>
      <c r="L30" s="14">
        <f>+B$18*2*H$19/H$18</f>
        <v>16.420860553582955</v>
      </c>
      <c r="M30" s="6">
        <v>0.18</v>
      </c>
      <c r="N30" s="6">
        <v>0.13</v>
      </c>
      <c r="O30" s="7">
        <f t="shared" si="2"/>
        <v>35.46905879573918</v>
      </c>
      <c r="P30" s="7">
        <f t="shared" si="2"/>
        <v>25.616542463589411</v>
      </c>
      <c r="R30" s="4"/>
    </row>
    <row r="31" spans="1:18" x14ac:dyDescent="0.2">
      <c r="A31" t="str">
        <f t="shared" si="1"/>
        <v>SE + OGPE</v>
      </c>
      <c r="B31" s="49">
        <f t="shared" si="1"/>
        <v>2519</v>
      </c>
      <c r="C31" s="20">
        <f>+B19+B17</f>
        <v>131.39985164876117</v>
      </c>
      <c r="D31" s="7"/>
      <c r="E31" s="6">
        <v>0.59</v>
      </c>
      <c r="F31" s="6">
        <v>0.35</v>
      </c>
      <c r="G31" s="6">
        <v>0.25</v>
      </c>
      <c r="H31" s="7">
        <f t="shared" si="0"/>
        <v>2343453.2822268642</v>
      </c>
      <c r="I31" s="7">
        <f t="shared" si="0"/>
        <v>1390184.1504735635</v>
      </c>
      <c r="J31" s="7">
        <f t="shared" si="0"/>
        <v>992988.67890968826</v>
      </c>
      <c r="L31" s="14">
        <f>+B$18*2*H$19/H$18</f>
        <v>16.420860553582955</v>
      </c>
      <c r="M31" s="6">
        <v>0.18</v>
      </c>
      <c r="N31" s="6">
        <v>0.13</v>
      </c>
      <c r="O31" s="7">
        <f t="shared" si="2"/>
        <v>89346.559106467001</v>
      </c>
      <c r="P31" s="7">
        <f t="shared" si="2"/>
        <v>64528.070465781726</v>
      </c>
      <c r="R31" s="4"/>
    </row>
    <row r="32" spans="1:18" x14ac:dyDescent="0.2">
      <c r="A32" t="str">
        <f t="shared" si="1"/>
        <v>SE + high flow + OGPE¹</v>
      </c>
      <c r="B32" s="49">
        <f t="shared" si="1"/>
        <v>15</v>
      </c>
      <c r="C32" s="21">
        <f>+IF((B$19*1.5 &gt;B$19+B$17),B$19*1.5,B$19+B$17)</f>
        <v>164.86459700309999</v>
      </c>
      <c r="D32" s="7"/>
      <c r="E32" s="6">
        <v>0.59</v>
      </c>
      <c r="F32" s="6">
        <v>0.35</v>
      </c>
      <c r="G32" s="6">
        <v>0.25</v>
      </c>
      <c r="H32" s="7">
        <f t="shared" si="0"/>
        <v>17508.620201729216</v>
      </c>
      <c r="I32" s="7">
        <f t="shared" si="0"/>
        <v>10386.469611195298</v>
      </c>
      <c r="J32" s="7">
        <f t="shared" si="0"/>
        <v>7418.9068651395</v>
      </c>
      <c r="L32" s="14">
        <v>0</v>
      </c>
      <c r="M32" s="6">
        <v>0.18</v>
      </c>
      <c r="N32" s="6">
        <v>0.13</v>
      </c>
      <c r="O32" s="7">
        <f t="shared" si="2"/>
        <v>0</v>
      </c>
      <c r="P32" s="7">
        <f t="shared" si="2"/>
        <v>0</v>
      </c>
      <c r="R32" s="4"/>
    </row>
    <row r="33" spans="1:18" x14ac:dyDescent="0.2">
      <c r="A33" t="str">
        <f t="shared" si="1"/>
        <v>portable gas or liquid only</v>
      </c>
      <c r="B33" s="49">
        <f t="shared" si="1"/>
        <v>520</v>
      </c>
      <c r="C33" s="20">
        <f>+B17</f>
        <v>21.490120313361182</v>
      </c>
      <c r="D33" s="7"/>
      <c r="E33" s="6">
        <v>0.59</v>
      </c>
      <c r="F33" s="6">
        <v>0.35</v>
      </c>
      <c r="G33" s="6">
        <v>0.25</v>
      </c>
      <c r="H33" s="7">
        <f t="shared" si="0"/>
        <v>79118.026945670514</v>
      </c>
      <c r="I33" s="7">
        <f t="shared" si="0"/>
        <v>46934.422764380812</v>
      </c>
      <c r="J33" s="7">
        <f t="shared" si="0"/>
        <v>33524.587688843443</v>
      </c>
      <c r="L33" s="14">
        <f>+B$18*2*H$19/H$18</f>
        <v>16.420860553582955</v>
      </c>
      <c r="M33" s="6">
        <v>0.18</v>
      </c>
      <c r="N33" s="6">
        <v>0.13</v>
      </c>
      <c r="O33" s="7">
        <f t="shared" si="2"/>
        <v>18443.910573784375</v>
      </c>
      <c r="P33" s="7">
        <f t="shared" si="2"/>
        <v>13320.602081066494</v>
      </c>
      <c r="R33" s="4"/>
    </row>
    <row r="34" spans="1:18" x14ac:dyDescent="0.2">
      <c r="A34" t="str">
        <f t="shared" si="1"/>
        <v>transfill only</v>
      </c>
      <c r="B34" s="49">
        <f t="shared" si="1"/>
        <v>196</v>
      </c>
      <c r="C34" s="20">
        <f>+B17</f>
        <v>21.490120313361182</v>
      </c>
      <c r="D34" s="7"/>
      <c r="E34" s="6">
        <v>0.59</v>
      </c>
      <c r="F34" s="6">
        <v>0.35</v>
      </c>
      <c r="G34" s="6">
        <v>0.25</v>
      </c>
      <c r="H34" s="7">
        <f t="shared" si="0"/>
        <v>29821.410156445047</v>
      </c>
      <c r="I34" s="7">
        <f t="shared" si="0"/>
        <v>17690.667041958925</v>
      </c>
      <c r="J34" s="7">
        <f t="shared" si="0"/>
        <v>12636.190744256375</v>
      </c>
      <c r="L34" s="14">
        <f>+B$18*2*H$19/H$18</f>
        <v>16.420860553582955</v>
      </c>
      <c r="M34" s="6">
        <v>0.18</v>
      </c>
      <c r="N34" s="6">
        <v>0.13</v>
      </c>
      <c r="O34" s="7">
        <f t="shared" si="2"/>
        <v>6951.9355239648794</v>
      </c>
      <c r="P34" s="7">
        <f t="shared" si="2"/>
        <v>5020.8423228635247</v>
      </c>
      <c r="R34" s="4"/>
    </row>
    <row r="35" spans="1:18" x14ac:dyDescent="0.2">
      <c r="A35" t="s">
        <v>6</v>
      </c>
      <c r="B35" s="8">
        <f>+SUM(B25:B34)</f>
        <v>16386</v>
      </c>
      <c r="H35" s="4">
        <f>+SUM(H25:H34)</f>
        <v>14316560.744201208</v>
      </c>
      <c r="I35" s="4">
        <f t="shared" ref="I35:J35" si="3">+SUM(I25:I34)</f>
        <v>8595482.2720168829</v>
      </c>
      <c r="J35" s="4">
        <f t="shared" si="3"/>
        <v>6170153.6968286326</v>
      </c>
      <c r="L35" s="14" t="s">
        <v>7</v>
      </c>
      <c r="M35" s="6"/>
      <c r="N35" s="6"/>
      <c r="O35" s="4">
        <f t="shared" ref="O35" si="4">+SUM(O25:O34)</f>
        <v>387641.3435786335</v>
      </c>
      <c r="P35" s="4">
        <f t="shared" ref="P35" si="5">+SUM(P25:P34)</f>
        <v>279963.19258456869</v>
      </c>
      <c r="Q35" s="4">
        <f>SUM(H35:P35)</f>
        <v>29749801.249209926</v>
      </c>
    </row>
    <row r="36" spans="1:18" x14ac:dyDescent="0.2">
      <c r="A36" s="66" t="s">
        <v>94</v>
      </c>
      <c r="L36" s="15"/>
    </row>
    <row r="37" spans="1:18" x14ac:dyDescent="0.2">
      <c r="A37" s="3" t="s">
        <v>56</v>
      </c>
      <c r="L37" s="15"/>
    </row>
    <row r="38" spans="1:18" x14ac:dyDescent="0.2">
      <c r="C38" s="56" t="s">
        <v>10</v>
      </c>
      <c r="E38" s="9" t="s">
        <v>12</v>
      </c>
      <c r="G38" s="12"/>
      <c r="L38" s="15"/>
    </row>
    <row r="39" spans="1:18" x14ac:dyDescent="0.2">
      <c r="B39" s="1" t="s">
        <v>0</v>
      </c>
      <c r="C39" s="2" t="s">
        <v>11</v>
      </c>
      <c r="E39" s="2" t="s">
        <v>1</v>
      </c>
      <c r="G39" s="12"/>
      <c r="L39" s="16" t="s">
        <v>9</v>
      </c>
      <c r="M39" s="2" t="s">
        <v>4</v>
      </c>
      <c r="N39" s="2" t="s">
        <v>5</v>
      </c>
      <c r="O39" s="2" t="s">
        <v>18</v>
      </c>
      <c r="P39" s="2" t="s">
        <v>19</v>
      </c>
    </row>
    <row r="40" spans="1:18" x14ac:dyDescent="0.2">
      <c r="A40" t="str">
        <f>+A25</f>
        <v>SE only</v>
      </c>
      <c r="B40" s="5">
        <f>+B25</f>
        <v>5400</v>
      </c>
      <c r="C40" s="20">
        <f>+C25</f>
        <v>109.9097313354</v>
      </c>
      <c r="E40" s="6">
        <v>0.65</v>
      </c>
      <c r="F40" s="6">
        <v>0.4</v>
      </c>
      <c r="G40" s="6">
        <v>0.28999999999999998</v>
      </c>
      <c r="H40" s="7">
        <f t="shared" ref="H40:J49" si="6">$B40*$C40*E40*12</f>
        <v>4629397.8838470476</v>
      </c>
      <c r="I40" s="7">
        <f t="shared" si="6"/>
        <v>2848860.2362135677</v>
      </c>
      <c r="J40" s="7">
        <f t="shared" si="6"/>
        <v>2065423.6712548365</v>
      </c>
      <c r="L40" s="17">
        <v>0</v>
      </c>
      <c r="M40" s="6">
        <v>0.23</v>
      </c>
      <c r="N40" s="6">
        <v>0.17</v>
      </c>
      <c r="O40" s="7">
        <f>$L40*12*(M40)*$B40</f>
        <v>0</v>
      </c>
      <c r="P40" s="7">
        <f>$L40*12*(N40)*$B40</f>
        <v>0</v>
      </c>
    </row>
    <row r="41" spans="1:18" x14ac:dyDescent="0.2">
      <c r="A41" t="str">
        <f t="shared" ref="A41:C49" si="7">+A26</f>
        <v>SE only + high flow (&gt; 4 liters per minute)</v>
      </c>
      <c r="B41" s="5">
        <f t="shared" si="7"/>
        <v>42</v>
      </c>
      <c r="C41" s="20">
        <f t="shared" si="7"/>
        <v>164.86459700309999</v>
      </c>
      <c r="E41" s="6">
        <v>0.59</v>
      </c>
      <c r="F41" s="6">
        <v>0.35</v>
      </c>
      <c r="G41" s="6">
        <v>0.25</v>
      </c>
      <c r="H41" s="7">
        <f t="shared" si="6"/>
        <v>49024.136564841814</v>
      </c>
      <c r="I41" s="7">
        <f t="shared" si="6"/>
        <v>29082.114911346835</v>
      </c>
      <c r="J41" s="7">
        <f t="shared" si="6"/>
        <v>20772.939222390596</v>
      </c>
      <c r="L41" s="14">
        <v>0</v>
      </c>
      <c r="M41" s="6">
        <v>0.18</v>
      </c>
      <c r="N41" s="6">
        <v>0.13</v>
      </c>
      <c r="O41" s="7">
        <f t="shared" ref="O41:P49" si="8">$L41*12*(M41)*$B41</f>
        <v>0</v>
      </c>
      <c r="P41" s="7">
        <f t="shared" si="8"/>
        <v>0</v>
      </c>
    </row>
    <row r="42" spans="1:18" x14ac:dyDescent="0.2">
      <c r="A42" t="str">
        <f t="shared" si="7"/>
        <v>SE + portable gas</v>
      </c>
      <c r="B42" s="5">
        <f t="shared" si="7"/>
        <v>7569</v>
      </c>
      <c r="C42" s="20">
        <f t="shared" si="7"/>
        <v>131.39985164876117</v>
      </c>
      <c r="E42" s="6">
        <v>0.59</v>
      </c>
      <c r="F42" s="6">
        <v>0.35</v>
      </c>
      <c r="G42" s="6">
        <v>0.25</v>
      </c>
      <c r="H42" s="7">
        <f t="shared" si="6"/>
        <v>7041523.5780766709</v>
      </c>
      <c r="I42" s="7">
        <f t="shared" si="6"/>
        <v>4177175.0039437879</v>
      </c>
      <c r="J42" s="7">
        <f t="shared" si="6"/>
        <v>2983696.4313884201</v>
      </c>
      <c r="L42" s="14">
        <f>+B$18</f>
        <v>61.2323375</v>
      </c>
      <c r="M42" s="6">
        <v>0.18</v>
      </c>
      <c r="N42" s="6">
        <v>0.13</v>
      </c>
      <c r="O42" s="7">
        <f t="shared" si="8"/>
        <v>1001089.9350809999</v>
      </c>
      <c r="P42" s="7">
        <f t="shared" si="8"/>
        <v>723009.39755850006</v>
      </c>
    </row>
    <row r="43" spans="1:18" x14ac:dyDescent="0.2">
      <c r="A43" t="str">
        <f t="shared" si="7"/>
        <v>SE + high flow + portable gas¹</v>
      </c>
      <c r="B43" s="5">
        <f t="shared" si="7"/>
        <v>43</v>
      </c>
      <c r="C43" s="20">
        <f t="shared" si="7"/>
        <v>164.86459700309999</v>
      </c>
      <c r="E43" s="6">
        <v>0.59</v>
      </c>
      <c r="F43" s="6">
        <v>0.35</v>
      </c>
      <c r="G43" s="6">
        <v>0.25</v>
      </c>
      <c r="H43" s="7">
        <f t="shared" si="6"/>
        <v>50191.377911623757</v>
      </c>
      <c r="I43" s="7">
        <f t="shared" si="6"/>
        <v>29774.54621875986</v>
      </c>
      <c r="J43" s="7">
        <f t="shared" si="6"/>
        <v>21267.533013399898</v>
      </c>
      <c r="L43" s="14">
        <f>+B$18</f>
        <v>61.2323375</v>
      </c>
      <c r="M43" s="6">
        <v>0.18</v>
      </c>
      <c r="N43" s="6">
        <v>0.13</v>
      </c>
      <c r="O43" s="7">
        <f t="shared" si="8"/>
        <v>5687.2595069999988</v>
      </c>
      <c r="P43" s="7">
        <f t="shared" si="8"/>
        <v>4107.4651995000004</v>
      </c>
    </row>
    <row r="44" spans="1:18" x14ac:dyDescent="0.2">
      <c r="A44" t="str">
        <f t="shared" si="7"/>
        <v>SE + portable liquid</v>
      </c>
      <c r="B44" s="5">
        <f t="shared" si="7"/>
        <v>81</v>
      </c>
      <c r="C44" s="20">
        <f>+B19+B20</f>
        <v>152.92685383539998</v>
      </c>
      <c r="E44" s="6">
        <v>0.59</v>
      </c>
      <c r="F44" s="6">
        <v>0.35</v>
      </c>
      <c r="G44" s="6">
        <v>0.25</v>
      </c>
      <c r="H44" s="7">
        <f>$B44*$C44*E44*12</f>
        <v>87700.492137525172</v>
      </c>
      <c r="I44" s="7">
        <f>$B44*$C44*F44*12</f>
        <v>52025.715674803068</v>
      </c>
      <c r="J44" s="7">
        <f t="shared" si="6"/>
        <v>37161.225482002192</v>
      </c>
      <c r="L44" s="14">
        <f t="shared" ref="L44" si="9">+B$18</f>
        <v>61.2323375</v>
      </c>
      <c r="M44" s="6">
        <v>0.18</v>
      </c>
      <c r="N44" s="6">
        <v>0.13</v>
      </c>
      <c r="O44" s="7">
        <f t="shared" si="8"/>
        <v>10713.209768999999</v>
      </c>
      <c r="P44" s="7">
        <f t="shared" si="8"/>
        <v>7737.3181665000002</v>
      </c>
      <c r="R44" s="4"/>
    </row>
    <row r="45" spans="1:18" x14ac:dyDescent="0.2">
      <c r="A45" t="str">
        <f>+A30</f>
        <v>SE + high flow + portable liquid¹</v>
      </c>
      <c r="B45" s="5">
        <f t="shared" si="7"/>
        <v>1</v>
      </c>
      <c r="C45" s="21">
        <f>+IF((B$19*1.5 &gt;B$19+B$17),B$19*1.5,B$19+B$17)</f>
        <v>164.86459700309999</v>
      </c>
      <c r="E45" s="6">
        <v>0.59</v>
      </c>
      <c r="F45" s="6">
        <v>0.35</v>
      </c>
      <c r="G45" s="6">
        <v>0.25</v>
      </c>
      <c r="H45" s="7">
        <f t="shared" ref="H45:I49" si="10">$B45*$C45*E45*12</f>
        <v>1167.2413467819479</v>
      </c>
      <c r="I45" s="7">
        <f t="shared" si="10"/>
        <v>692.43130741301991</v>
      </c>
      <c r="J45" s="7">
        <f t="shared" si="6"/>
        <v>494.59379100929993</v>
      </c>
      <c r="L45" s="14">
        <f>+B18*1.5</f>
        <v>91.84850625</v>
      </c>
      <c r="M45" s="6">
        <v>0.18</v>
      </c>
      <c r="N45" s="6">
        <v>0.13</v>
      </c>
      <c r="O45" s="7">
        <f t="shared" si="8"/>
        <v>198.39277349999998</v>
      </c>
      <c r="P45" s="7">
        <f t="shared" si="8"/>
        <v>143.28366975</v>
      </c>
      <c r="R45" s="4"/>
    </row>
    <row r="46" spans="1:18" x14ac:dyDescent="0.2">
      <c r="A46" t="str">
        <f>+A31</f>
        <v>SE + OGPE</v>
      </c>
      <c r="B46" s="5">
        <f t="shared" si="7"/>
        <v>2519</v>
      </c>
      <c r="C46" s="20">
        <f>+B19+B20</f>
        <v>152.92685383539998</v>
      </c>
      <c r="E46" s="6">
        <v>0.59</v>
      </c>
      <c r="F46" s="6">
        <v>0.35</v>
      </c>
      <c r="G46" s="6">
        <v>0.25</v>
      </c>
      <c r="H46" s="7">
        <f t="shared" si="10"/>
        <v>2727377.0332645178</v>
      </c>
      <c r="I46" s="7">
        <f t="shared" si="10"/>
        <v>1617935.5282077645</v>
      </c>
      <c r="J46" s="7">
        <f t="shared" si="6"/>
        <v>1155668.2344341176</v>
      </c>
      <c r="L46" s="14">
        <v>0</v>
      </c>
      <c r="M46" s="6">
        <v>0.18</v>
      </c>
      <c r="N46" s="6">
        <v>0.13</v>
      </c>
      <c r="O46" s="7">
        <f t="shared" si="8"/>
        <v>0</v>
      </c>
      <c r="P46" s="7">
        <f t="shared" si="8"/>
        <v>0</v>
      </c>
      <c r="R46" s="4"/>
    </row>
    <row r="47" spans="1:18" x14ac:dyDescent="0.2">
      <c r="A47" t="str">
        <f t="shared" ref="A47:A49" si="11">+A32</f>
        <v>SE + high flow + OGPE¹</v>
      </c>
      <c r="B47" s="5">
        <f t="shared" si="7"/>
        <v>15</v>
      </c>
      <c r="C47" s="21">
        <f>+IF((B$19*1.5 &gt;B$19+B$20),B$19*1.5,B$19+B$20)</f>
        <v>164.86459700309999</v>
      </c>
      <c r="E47" s="6">
        <v>0.59</v>
      </c>
      <c r="F47" s="6">
        <v>0.35</v>
      </c>
      <c r="G47" s="6">
        <v>0.25</v>
      </c>
      <c r="H47" s="7">
        <f t="shared" si="10"/>
        <v>17508.620201729216</v>
      </c>
      <c r="I47" s="7">
        <f t="shared" si="10"/>
        <v>10386.469611195298</v>
      </c>
      <c r="J47" s="7">
        <f t="shared" si="6"/>
        <v>7418.9068651395</v>
      </c>
      <c r="L47" s="14">
        <v>0</v>
      </c>
      <c r="M47" s="6">
        <v>0.18</v>
      </c>
      <c r="N47" s="6">
        <v>0.13</v>
      </c>
      <c r="O47" s="7">
        <f t="shared" si="8"/>
        <v>0</v>
      </c>
      <c r="P47" s="7">
        <f t="shared" si="8"/>
        <v>0</v>
      </c>
      <c r="R47" s="4"/>
    </row>
    <row r="48" spans="1:18" x14ac:dyDescent="0.2">
      <c r="A48" t="str">
        <f t="shared" si="11"/>
        <v>portable gas or liquid only</v>
      </c>
      <c r="B48" s="5">
        <f t="shared" si="7"/>
        <v>520</v>
      </c>
      <c r="C48" s="20">
        <f t="shared" si="7"/>
        <v>21.490120313361182</v>
      </c>
      <c r="E48" s="6">
        <v>0.59</v>
      </c>
      <c r="F48" s="6">
        <v>0.35</v>
      </c>
      <c r="G48" s="6">
        <v>0.25</v>
      </c>
      <c r="H48" s="7">
        <f t="shared" si="10"/>
        <v>79118.026945670514</v>
      </c>
      <c r="I48" s="7">
        <f t="shared" si="10"/>
        <v>46934.422764380812</v>
      </c>
      <c r="J48" s="7">
        <f t="shared" si="6"/>
        <v>33524.587688843443</v>
      </c>
      <c r="L48" s="14">
        <f>+B18</f>
        <v>61.2323375</v>
      </c>
      <c r="M48" s="6">
        <v>0.18</v>
      </c>
      <c r="N48" s="6">
        <v>0.13</v>
      </c>
      <c r="O48" s="7">
        <f t="shared" si="8"/>
        <v>68776.161479999995</v>
      </c>
      <c r="P48" s="7">
        <f t="shared" si="8"/>
        <v>49671.672180000001</v>
      </c>
      <c r="R48" s="4"/>
    </row>
    <row r="49" spans="1:18" x14ac:dyDescent="0.2">
      <c r="A49" t="str">
        <f t="shared" si="11"/>
        <v>transfill only</v>
      </c>
      <c r="B49" s="5">
        <f t="shared" si="7"/>
        <v>196</v>
      </c>
      <c r="C49" s="20">
        <f>+B20</f>
        <v>43.017122499999999</v>
      </c>
      <c r="E49" s="6">
        <v>0.59</v>
      </c>
      <c r="F49" s="6">
        <v>0.35</v>
      </c>
      <c r="G49" s="6">
        <v>0.25</v>
      </c>
      <c r="H49" s="7">
        <f t="shared" si="10"/>
        <v>59694.000550799989</v>
      </c>
      <c r="I49" s="7">
        <f t="shared" si="10"/>
        <v>35411.695242000002</v>
      </c>
      <c r="J49" s="7">
        <f t="shared" si="6"/>
        <v>25294.068029999999</v>
      </c>
      <c r="L49" s="14">
        <v>0</v>
      </c>
      <c r="M49" s="6">
        <v>0.18</v>
      </c>
      <c r="N49" s="6">
        <v>0.13</v>
      </c>
      <c r="O49" s="7">
        <f t="shared" si="8"/>
        <v>0</v>
      </c>
      <c r="P49" s="7">
        <f t="shared" si="8"/>
        <v>0</v>
      </c>
      <c r="R49" s="4"/>
    </row>
    <row r="50" spans="1:18" x14ac:dyDescent="0.2">
      <c r="A50" t="str">
        <f>+A35</f>
        <v>Total</v>
      </c>
      <c r="B50" s="8">
        <v>16386</v>
      </c>
      <c r="H50" s="4">
        <f>+SUM(H40:H49)</f>
        <v>14742702.390847208</v>
      </c>
      <c r="I50" s="4">
        <f t="shared" ref="I50:J50" si="12">+SUM(I40:I49)</f>
        <v>8848278.1640950199</v>
      </c>
      <c r="J50" s="4">
        <f t="shared" si="12"/>
        <v>6350722.1911701579</v>
      </c>
      <c r="O50" s="4">
        <f t="shared" ref="O50:P50" si="13">+SUM(O40:O49)</f>
        <v>1086464.9586104997</v>
      </c>
      <c r="P50" s="4">
        <f t="shared" si="13"/>
        <v>784669.13677424996</v>
      </c>
      <c r="Q50" s="4">
        <f>SUM(H50:P50)</f>
        <v>31812836.841497134</v>
      </c>
    </row>
    <row r="51" spans="1:18" ht="13.5" thickBot="1" x14ac:dyDescent="0.25">
      <c r="B51" s="11"/>
      <c r="C51" s="24"/>
      <c r="I51" s="4" t="s">
        <v>7</v>
      </c>
      <c r="Q51" s="4">
        <f>Q50-Q35</f>
        <v>2063035.5922872089</v>
      </c>
      <c r="R51">
        <f>+Q51/Q35</f>
        <v>6.9346197475588095E-2</v>
      </c>
    </row>
    <row r="52" spans="1:18" ht="14.25" thickTop="1" thickBot="1" x14ac:dyDescent="0.25">
      <c r="A52" s="11"/>
      <c r="I52" s="13" t="s">
        <v>7</v>
      </c>
      <c r="O52" s="39" t="s">
        <v>20</v>
      </c>
      <c r="P52" s="40"/>
      <c r="Q52" s="51">
        <v>6.4851000000000006E-2</v>
      </c>
    </row>
    <row r="53" spans="1:18" ht="13.5" thickTop="1" x14ac:dyDescent="0.2">
      <c r="A53" s="3" t="s">
        <v>93</v>
      </c>
      <c r="Q53" s="38" t="s">
        <v>21</v>
      </c>
      <c r="R53" t="s">
        <v>21</v>
      </c>
    </row>
    <row r="54" spans="1:18" x14ac:dyDescent="0.2">
      <c r="C54" s="26" t="s">
        <v>14</v>
      </c>
      <c r="Q54" s="25"/>
    </row>
    <row r="55" spans="1:18" x14ac:dyDescent="0.2">
      <c r="C55" s="26" t="s">
        <v>15</v>
      </c>
      <c r="E55" t="str">
        <f>+E38</f>
        <v>% O2 Users at Midpoint of:</v>
      </c>
    </row>
    <row r="56" spans="1:18" x14ac:dyDescent="0.2">
      <c r="B56" t="str">
        <f t="shared" ref="B56:B61" si="14">+B39</f>
        <v xml:space="preserve"># benes </v>
      </c>
      <c r="C56" s="27" t="s">
        <v>16</v>
      </c>
      <c r="E56" t="str">
        <f>+E39</f>
        <v>Year 1</v>
      </c>
      <c r="F56">
        <f>+F39</f>
        <v>0</v>
      </c>
      <c r="G56">
        <f>+G39</f>
        <v>0</v>
      </c>
      <c r="H56">
        <f>+H39</f>
        <v>0</v>
      </c>
      <c r="I56">
        <f>+I39</f>
        <v>0</v>
      </c>
      <c r="J56">
        <f>+J39</f>
        <v>0</v>
      </c>
      <c r="L56" s="2" t="s">
        <v>9</v>
      </c>
      <c r="M56" s="2" t="s">
        <v>4</v>
      </c>
      <c r="N56" s="2" t="s">
        <v>5</v>
      </c>
      <c r="O56" s="2" t="s">
        <v>18</v>
      </c>
      <c r="P56" s="2" t="s">
        <v>19</v>
      </c>
    </row>
    <row r="57" spans="1:18" x14ac:dyDescent="0.2">
      <c r="A57" t="str">
        <f t="shared" ref="A57:B66" si="15">+A40</f>
        <v>SE only</v>
      </c>
      <c r="B57">
        <f t="shared" si="14"/>
        <v>5400</v>
      </c>
      <c r="C57" s="28">
        <f>+ROUND(C40*(1-Q$52),2)</f>
        <v>102.78</v>
      </c>
      <c r="E57" s="6">
        <v>0.65</v>
      </c>
      <c r="F57" s="6">
        <v>0.4</v>
      </c>
      <c r="G57" s="6">
        <v>0.28999999999999998</v>
      </c>
      <c r="H57" s="7">
        <f>$B57*$C57*E57*12</f>
        <v>4329093.5999999996</v>
      </c>
      <c r="I57" s="7">
        <f>$B57*$C57*F57*12</f>
        <v>2664057.6</v>
      </c>
      <c r="J57" s="7">
        <f>$B57*$C57*G57*12</f>
        <v>1931441.7599999998</v>
      </c>
      <c r="L57" s="55">
        <f t="shared" ref="L57:L66" si="16">+L40*(1-Q$52)</f>
        <v>0</v>
      </c>
      <c r="M57" s="6">
        <v>0.23</v>
      </c>
      <c r="N57" s="6">
        <v>0.17</v>
      </c>
      <c r="O57" s="7">
        <f>$L57*12*(M57)*$B57</f>
        <v>0</v>
      </c>
      <c r="P57" s="7">
        <f>$L57*12*(N57)*$B57</f>
        <v>0</v>
      </c>
    </row>
    <row r="58" spans="1:18" x14ac:dyDescent="0.2">
      <c r="A58" t="str">
        <f t="shared" si="15"/>
        <v>SE only + high flow (&gt; 4 liters per minute)</v>
      </c>
      <c r="B58">
        <f t="shared" si="14"/>
        <v>42</v>
      </c>
      <c r="C58" s="28">
        <f t="shared" ref="C58:C66" si="17">+ROUND(C41*(1-Q$52),2)</f>
        <v>154.16999999999999</v>
      </c>
      <c r="E58" s="6">
        <v>0.59</v>
      </c>
      <c r="F58" s="6">
        <v>0.35</v>
      </c>
      <c r="G58" s="6">
        <v>0.25</v>
      </c>
      <c r="H58" s="7">
        <f t="shared" ref="H58:I60" si="18">$B58*$C58*E58*12</f>
        <v>45843.991199999989</v>
      </c>
      <c r="I58" s="7">
        <f t="shared" si="18"/>
        <v>27195.587999999996</v>
      </c>
      <c r="J58" s="7">
        <f>$B58*$C58*G58*12</f>
        <v>19425.419999999998</v>
      </c>
      <c r="L58" s="55">
        <f t="shared" si="16"/>
        <v>0</v>
      </c>
      <c r="M58" s="6">
        <v>0.18</v>
      </c>
      <c r="N58" s="6">
        <v>0.13</v>
      </c>
      <c r="O58" s="7">
        <f t="shared" ref="O58:P66" si="19">$L58*12*(M58)*$B58</f>
        <v>0</v>
      </c>
      <c r="P58" s="7">
        <f t="shared" si="19"/>
        <v>0</v>
      </c>
    </row>
    <row r="59" spans="1:18" x14ac:dyDescent="0.2">
      <c r="A59" t="str">
        <f t="shared" si="15"/>
        <v>SE + portable gas</v>
      </c>
      <c r="B59">
        <f t="shared" si="14"/>
        <v>7569</v>
      </c>
      <c r="C59" s="28">
        <f t="shared" si="17"/>
        <v>122.88</v>
      </c>
      <c r="E59" s="6">
        <v>0.59</v>
      </c>
      <c r="F59" s="6">
        <v>0.35</v>
      </c>
      <c r="G59" s="6">
        <v>0.25</v>
      </c>
      <c r="H59" s="7">
        <f t="shared" si="18"/>
        <v>6584957.3375999993</v>
      </c>
      <c r="I59" s="7">
        <f t="shared" si="18"/>
        <v>3906330.6239999998</v>
      </c>
      <c r="J59" s="7">
        <f>$B59*$C59*G59*12</f>
        <v>2790236.1600000001</v>
      </c>
      <c r="L59" s="55">
        <f t="shared" si="16"/>
        <v>57.261359180787501</v>
      </c>
      <c r="M59" s="6">
        <v>0.18</v>
      </c>
      <c r="N59" s="6">
        <v>0.13</v>
      </c>
      <c r="O59" s="7">
        <f t="shared" si="19"/>
        <v>936168.25170106196</v>
      </c>
      <c r="P59" s="7">
        <f t="shared" si="19"/>
        <v>676121.51511743374</v>
      </c>
    </row>
    <row r="60" spans="1:18" x14ac:dyDescent="0.2">
      <c r="A60" t="str">
        <f t="shared" si="15"/>
        <v>SE + high flow + portable gas¹</v>
      </c>
      <c r="B60">
        <f t="shared" si="14"/>
        <v>43</v>
      </c>
      <c r="C60" s="28">
        <f t="shared" si="17"/>
        <v>154.16999999999999</v>
      </c>
      <c r="E60" s="6">
        <v>0.59</v>
      </c>
      <c r="F60" s="6">
        <v>0.35</v>
      </c>
      <c r="G60" s="6">
        <v>0.25</v>
      </c>
      <c r="H60" s="7">
        <f t="shared" si="18"/>
        <v>46935.51479999999</v>
      </c>
      <c r="I60" s="7">
        <f t="shared" si="18"/>
        <v>27843.101999999992</v>
      </c>
      <c r="J60" s="7">
        <f>$B60*$C60*G60*12</f>
        <v>19887.93</v>
      </c>
      <c r="L60" s="55">
        <f t="shared" si="16"/>
        <v>57.261359180787501</v>
      </c>
      <c r="M60" s="6">
        <v>0.18</v>
      </c>
      <c r="N60" s="6">
        <v>0.13</v>
      </c>
      <c r="O60" s="7">
        <f t="shared" si="19"/>
        <v>5318.4350407115426</v>
      </c>
      <c r="P60" s="7">
        <f t="shared" si="19"/>
        <v>3841.0919738472253</v>
      </c>
    </row>
    <row r="61" spans="1:18" x14ac:dyDescent="0.2">
      <c r="A61" t="str">
        <f t="shared" si="15"/>
        <v>SE + portable liquid</v>
      </c>
      <c r="B61">
        <f t="shared" si="14"/>
        <v>81</v>
      </c>
      <c r="C61" s="28">
        <f t="shared" si="17"/>
        <v>143.01</v>
      </c>
      <c r="E61" s="6">
        <v>0.59</v>
      </c>
      <c r="F61" s="6">
        <v>0.35</v>
      </c>
      <c r="G61" s="6">
        <v>0.25</v>
      </c>
      <c r="H61" s="7">
        <f>$B61*$C61*E61*12</f>
        <v>82013.374799999991</v>
      </c>
      <c r="I61" s="7">
        <f>$B61*$C61*F61*12</f>
        <v>48652.001999999993</v>
      </c>
      <c r="J61" s="7">
        <f>$B61*$C61*G61*12</f>
        <v>34751.43</v>
      </c>
      <c r="L61" s="55">
        <f t="shared" si="16"/>
        <v>57.261359180787501</v>
      </c>
      <c r="M61" s="6">
        <v>0.18</v>
      </c>
      <c r="N61" s="6">
        <v>0.13</v>
      </c>
      <c r="O61" s="7">
        <f t="shared" si="19"/>
        <v>10018.44740227058</v>
      </c>
      <c r="P61" s="7">
        <f t="shared" si="19"/>
        <v>7235.5453460843082</v>
      </c>
    </row>
    <row r="62" spans="1:18" x14ac:dyDescent="0.2">
      <c r="A62" t="str">
        <f t="shared" si="15"/>
        <v>SE + high flow + portable liquid¹</v>
      </c>
      <c r="B62">
        <f>+B45</f>
        <v>1</v>
      </c>
      <c r="C62" s="28">
        <f t="shared" si="17"/>
        <v>154.16999999999999</v>
      </c>
      <c r="E62" s="6">
        <v>0.59</v>
      </c>
      <c r="F62" s="6">
        <v>0.35</v>
      </c>
      <c r="G62" s="6">
        <v>0.25</v>
      </c>
      <c r="H62" s="7">
        <f>$B62*$C62*E62*12</f>
        <v>1091.5236</v>
      </c>
      <c r="I62" s="7">
        <f>$B62*$C62*F62*12</f>
        <v>647.5139999999999</v>
      </c>
      <c r="J62" s="7">
        <f>$B62*$C62*G62*12</f>
        <v>462.51</v>
      </c>
      <c r="L62" s="55">
        <f t="shared" si="16"/>
        <v>85.892038771181248</v>
      </c>
      <c r="M62" s="6">
        <v>0.18</v>
      </c>
      <c r="N62" s="6">
        <v>0.13</v>
      </c>
      <c r="O62" s="7">
        <f t="shared" si="19"/>
        <v>185.52680374575147</v>
      </c>
      <c r="P62" s="7">
        <f t="shared" si="19"/>
        <v>133.99158048304275</v>
      </c>
    </row>
    <row r="63" spans="1:18" x14ac:dyDescent="0.2">
      <c r="A63" t="str">
        <f t="shared" si="15"/>
        <v>SE + OGPE</v>
      </c>
      <c r="B63">
        <f>+B46</f>
        <v>2519</v>
      </c>
      <c r="C63" s="28">
        <f t="shared" si="17"/>
        <v>143.01</v>
      </c>
      <c r="E63" s="6">
        <v>0.59</v>
      </c>
      <c r="F63" s="6">
        <v>0.35</v>
      </c>
      <c r="G63" s="6">
        <v>0.25</v>
      </c>
      <c r="H63" s="7">
        <f t="shared" ref="H63:J66" si="20">$B63*$C63*E63*12</f>
        <v>2550514.7051999997</v>
      </c>
      <c r="I63" s="7">
        <f t="shared" si="20"/>
        <v>1513017.1979999999</v>
      </c>
      <c r="J63" s="7">
        <f t="shared" si="20"/>
        <v>1080726.57</v>
      </c>
      <c r="L63" s="55">
        <f t="shared" si="16"/>
        <v>0</v>
      </c>
      <c r="M63" s="6">
        <v>0.18</v>
      </c>
      <c r="N63" s="6">
        <v>0.13</v>
      </c>
      <c r="O63" s="7">
        <f t="shared" si="19"/>
        <v>0</v>
      </c>
      <c r="P63" s="7">
        <f t="shared" si="19"/>
        <v>0</v>
      </c>
      <c r="Q63" s="4"/>
    </row>
    <row r="64" spans="1:18" x14ac:dyDescent="0.2">
      <c r="A64" t="str">
        <f t="shared" si="15"/>
        <v>SE + high flow + OGPE¹</v>
      </c>
      <c r="B64">
        <f t="shared" si="15"/>
        <v>15</v>
      </c>
      <c r="C64" s="28">
        <f t="shared" si="17"/>
        <v>154.16999999999999</v>
      </c>
      <c r="E64" s="6">
        <v>0.59</v>
      </c>
      <c r="F64" s="6">
        <v>0.35</v>
      </c>
      <c r="G64" s="6">
        <v>0.25</v>
      </c>
      <c r="H64" s="7">
        <f t="shared" si="20"/>
        <v>16372.853999999999</v>
      </c>
      <c r="I64" s="7">
        <f t="shared" si="20"/>
        <v>9712.7099999999973</v>
      </c>
      <c r="J64" s="7">
        <f t="shared" si="20"/>
        <v>6937.65</v>
      </c>
      <c r="L64" s="55">
        <f t="shared" si="16"/>
        <v>0</v>
      </c>
      <c r="M64" s="6">
        <v>0.18</v>
      </c>
      <c r="N64" s="6">
        <v>0.13</v>
      </c>
      <c r="O64" s="7">
        <f t="shared" si="19"/>
        <v>0</v>
      </c>
      <c r="P64" s="7">
        <f t="shared" si="19"/>
        <v>0</v>
      </c>
      <c r="Q64" s="4"/>
    </row>
    <row r="65" spans="1:17" x14ac:dyDescent="0.2">
      <c r="A65" t="str">
        <f t="shared" si="15"/>
        <v>portable gas or liquid only</v>
      </c>
      <c r="B65">
        <f t="shared" si="15"/>
        <v>520</v>
      </c>
      <c r="C65" s="28">
        <f t="shared" si="17"/>
        <v>20.100000000000001</v>
      </c>
      <c r="E65" s="6">
        <v>0.59</v>
      </c>
      <c r="F65" s="6">
        <v>0.35</v>
      </c>
      <c r="G65" s="6">
        <v>0.25</v>
      </c>
      <c r="H65" s="7">
        <f t="shared" si="20"/>
        <v>74000.159999999989</v>
      </c>
      <c r="I65" s="7">
        <f t="shared" si="20"/>
        <v>43898.399999999994</v>
      </c>
      <c r="J65" s="7">
        <f t="shared" si="20"/>
        <v>31356</v>
      </c>
      <c r="L65" s="55">
        <f t="shared" si="16"/>
        <v>57.261359180787501</v>
      </c>
      <c r="M65" s="6">
        <v>0.18</v>
      </c>
      <c r="N65" s="6">
        <v>0.13</v>
      </c>
      <c r="O65" s="7">
        <f t="shared" si="19"/>
        <v>64315.958631860514</v>
      </c>
      <c r="P65" s="7">
        <f t="shared" si="19"/>
        <v>46450.41456745482</v>
      </c>
      <c r="Q65" s="4"/>
    </row>
    <row r="66" spans="1:17" x14ac:dyDescent="0.2">
      <c r="A66" t="str">
        <f t="shared" si="15"/>
        <v>transfill only</v>
      </c>
      <c r="B66">
        <f>+B49</f>
        <v>196</v>
      </c>
      <c r="C66" s="28">
        <f t="shared" si="17"/>
        <v>40.229999999999997</v>
      </c>
      <c r="E66" s="6">
        <v>0.59</v>
      </c>
      <c r="F66" s="6">
        <v>0.35</v>
      </c>
      <c r="G66" s="6">
        <v>0.25</v>
      </c>
      <c r="H66" s="7">
        <f t="shared" si="20"/>
        <v>55826.366399999999</v>
      </c>
      <c r="I66" s="7">
        <f t="shared" si="20"/>
        <v>33117.335999999996</v>
      </c>
      <c r="J66" s="7">
        <f t="shared" si="20"/>
        <v>23655.239999999998</v>
      </c>
      <c r="L66" s="55">
        <f t="shared" si="16"/>
        <v>0</v>
      </c>
      <c r="M66" s="6">
        <v>0.18</v>
      </c>
      <c r="N66" s="6">
        <v>0.13</v>
      </c>
      <c r="O66" s="7">
        <f t="shared" si="19"/>
        <v>0</v>
      </c>
      <c r="P66" s="7">
        <f t="shared" si="19"/>
        <v>0</v>
      </c>
      <c r="Q66" s="4"/>
    </row>
    <row r="67" spans="1:17" x14ac:dyDescent="0.2">
      <c r="A67" s="38" t="s">
        <v>7</v>
      </c>
      <c r="B67" s="8">
        <f>+SUM(B57:B66)</f>
        <v>16386</v>
      </c>
      <c r="H67" s="4">
        <f>SUM(H57:H66)</f>
        <v>13786649.427599998</v>
      </c>
      <c r="I67" s="4">
        <f t="shared" ref="I67:J67" si="21">SUM(I57:I66)</f>
        <v>8274472.074000001</v>
      </c>
      <c r="J67" s="4">
        <f t="shared" si="21"/>
        <v>5938880.6699999999</v>
      </c>
      <c r="O67" s="4">
        <f t="shared" ref="O67:P67" si="22">SUM(O57:O66)</f>
        <v>1016006.6195796505</v>
      </c>
      <c r="P67" s="4">
        <f t="shared" si="22"/>
        <v>733782.55858530314</v>
      </c>
      <c r="Q67" s="4">
        <f>SUM(H67:P67)</f>
        <v>29749791.349764954</v>
      </c>
    </row>
    <row r="68" spans="1:17" x14ac:dyDescent="0.2">
      <c r="Q68" s="13">
        <f>+Q67/Q35</f>
        <v>0.99999966724332412</v>
      </c>
    </row>
  </sheetData>
  <mergeCells count="4">
    <mergeCell ref="A1:R1"/>
    <mergeCell ref="F17:H17"/>
    <mergeCell ref="F18:G18"/>
    <mergeCell ref="F19:G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documentation</vt:lpstr>
      <vt:lpstr>cross tab july 2017</vt:lpstr>
      <vt:lpstr>cross tab types</vt:lpstr>
      <vt:lpstr>input prices</vt:lpstr>
      <vt:lpstr>non-contig</vt:lpstr>
      <vt:lpstr>region1</vt:lpstr>
      <vt:lpstr>region2</vt:lpstr>
      <vt:lpstr>region3</vt:lpstr>
      <vt:lpstr>region4</vt:lpstr>
      <vt:lpstr>region5</vt:lpstr>
      <vt:lpstr>region6</vt:lpstr>
      <vt:lpstr>region7</vt:lpstr>
      <vt:lpstr>region8</vt:lpstr>
      <vt:lpstr>summary</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Christopher Molling</cp:lastModifiedBy>
  <cp:lastPrinted>2018-10-09T12:49:05Z</cp:lastPrinted>
  <dcterms:created xsi:type="dcterms:W3CDTF">2006-10-03T18:14:36Z</dcterms:created>
  <dcterms:modified xsi:type="dcterms:W3CDTF">2019-01-02T14:58:47Z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1733397158</vt:i4>
  </property>
  <property fmtid="{D5CDD505-2E9C-101B-9397-08002B2CF9AE}" pid="3" name="_NewReviewCycle">
    <vt:lpwstr/>
  </property>
  <property fmtid="{D5CDD505-2E9C-101B-9397-08002B2CF9AE}" pid="4" name="_EmailSubject">
    <vt:lpwstr>Oxygen Budget Neutrality Calculations</vt:lpwstr>
  </property>
  <property fmtid="{D5CDD505-2E9C-101B-9397-08002B2CF9AE}" pid="5" name="_AuthorEmail">
    <vt:lpwstr>Christopher.Molling@cms.hhs.gov</vt:lpwstr>
  </property>
  <property fmtid="{D5CDD505-2E9C-101B-9397-08002B2CF9AE}" pid="6" name="_AuthorEmailDisplayName">
    <vt:lpwstr>Molling, Christopher P. (CMS/CM)</vt:lpwstr>
  </property>
  <property fmtid="{D5CDD505-2E9C-101B-9397-08002B2CF9AE}" pid="7" name="_PreviousAdHocReviewCycleID">
    <vt:i4>-1961098563</vt:i4>
  </property>
</Properties>
</file>